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hidePivotFieldList="1" defaultThemeVersion="166925"/>
  <mc:AlternateContent xmlns:mc="http://schemas.openxmlformats.org/markup-compatibility/2006">
    <mc:Choice Requires="x15">
      <x15ac:absPath xmlns:x15ac="http://schemas.microsoft.com/office/spreadsheetml/2010/11/ac" url="C:\Users\55323\Desktop\"/>
    </mc:Choice>
  </mc:AlternateContent>
  <xr:revisionPtr revIDLastSave="0" documentId="13_ncr:1_{29DF3D4A-BB08-49C2-A90E-F90D2F145D67}" xr6:coauthVersionLast="47" xr6:coauthVersionMax="47" xr10:uidLastSave="{00000000-0000-0000-0000-000000000000}"/>
  <workbookProtection lockStructure="1"/>
  <bookViews>
    <workbookView xWindow="28680" yWindow="-120" windowWidth="29040" windowHeight="15720" xr2:uid="{38ED810B-C32B-4678-B7C0-CCD0E09CFD5D}"/>
  </bookViews>
  <sheets>
    <sheet name="Instructions" sheetId="42" r:id="rId1"/>
    <sheet name="CoC Cost Eligibility" sheetId="44" r:id="rId2"/>
    <sheet name="Example Model Project Type" sheetId="41" r:id="rId3"/>
    <sheet name="Example Project" sheetId="40" r:id="rId4"/>
    <sheet name="Model Project Type" sheetId="20" r:id="rId5"/>
    <sheet name="Project 1" sheetId="16" r:id="rId6"/>
    <sheet name="Project 2" sheetId="31" r:id="rId7"/>
    <sheet name="Project 3" sheetId="32" r:id="rId8"/>
    <sheet name="Project 4" sheetId="33" r:id="rId9"/>
    <sheet name="Project 5" sheetId="34" r:id="rId10"/>
    <sheet name="Project 6" sheetId="35" r:id="rId11"/>
    <sheet name="Project 7" sheetId="36" r:id="rId12"/>
    <sheet name="Project 8" sheetId="37" r:id="rId13"/>
    <sheet name="Project 9" sheetId="38" r:id="rId14"/>
    <sheet name="Project 10" sheetId="39" r:id="rId15"/>
    <sheet name="Allowable" sheetId="3" state="hidden" r:id="rId16"/>
  </sheets>
  <definedNames>
    <definedName name="_xlnm._FilterDatabase" localSheetId="3" hidden="1">'Example Project'!$A$22:$A$58</definedName>
    <definedName name="_xlnm._FilterDatabase" localSheetId="5" hidden="1">'Project 1'!$A$22:$A$58</definedName>
    <definedName name="_xlnm._FilterDatabase" localSheetId="14" hidden="1">'Project 10'!$A$21:$A$38</definedName>
    <definedName name="_xlnm._FilterDatabase" localSheetId="6" hidden="1">'Project 2'!$A$21:$A$38</definedName>
    <definedName name="_xlnm._FilterDatabase" localSheetId="7" hidden="1">'Project 3'!$A$21:$A$38</definedName>
    <definedName name="_xlnm._FilterDatabase" localSheetId="8" hidden="1">'Project 4'!$A$21:$A$38</definedName>
    <definedName name="_xlnm._FilterDatabase" localSheetId="9" hidden="1">'Project 5'!$A$21:$A$38</definedName>
    <definedName name="_xlnm._FilterDatabase" localSheetId="10" hidden="1">'Project 6'!$A$21:$A$38</definedName>
    <definedName name="_xlnm._FilterDatabase" localSheetId="11" hidden="1">'Project 7'!$A$21:$A$38</definedName>
    <definedName name="_xlnm._FilterDatabase" localSheetId="12" hidden="1">'Project 8'!$A$21:$A$38</definedName>
    <definedName name="_xlnm._FilterDatabase" localSheetId="13" hidden="1">'Project 9'!$A$21:$A$38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3" i="20" l="1"/>
  <c r="G32" i="20"/>
  <c r="G31" i="20"/>
  <c r="G30" i="20"/>
  <c r="G29" i="20"/>
  <c r="G28" i="20"/>
  <c r="G27" i="20"/>
  <c r="G26" i="20"/>
  <c r="G25" i="20"/>
  <c r="F33" i="20"/>
  <c r="F32" i="20"/>
  <c r="F31" i="20"/>
  <c r="F30" i="20"/>
  <c r="F29" i="20"/>
  <c r="F28" i="20"/>
  <c r="F27" i="20"/>
  <c r="F26" i="20"/>
  <c r="F25" i="20"/>
  <c r="E33" i="20"/>
  <c r="E32" i="20"/>
  <c r="E31" i="20"/>
  <c r="E30" i="20"/>
  <c r="E29" i="20"/>
  <c r="E28" i="20"/>
  <c r="E27" i="20"/>
  <c r="E26" i="20"/>
  <c r="E25" i="20"/>
  <c r="D33" i="20"/>
  <c r="D32" i="20"/>
  <c r="D31" i="20"/>
  <c r="D30" i="20"/>
  <c r="D29" i="20"/>
  <c r="D28" i="20"/>
  <c r="D27" i="20"/>
  <c r="D26" i="20"/>
  <c r="D25" i="20"/>
  <c r="C33" i="20"/>
  <c r="C32" i="20"/>
  <c r="C31" i="20"/>
  <c r="C30" i="20"/>
  <c r="C29" i="20"/>
  <c r="C28" i="20"/>
  <c r="C27" i="20"/>
  <c r="C26" i="20"/>
  <c r="C25" i="20"/>
  <c r="H125" i="39"/>
  <c r="H124" i="39"/>
  <c r="H123" i="39"/>
  <c r="H122" i="39"/>
  <c r="H126" i="39" s="1"/>
  <c r="H121" i="39"/>
  <c r="G121" i="39"/>
  <c r="G121" i="39" a="1"/>
  <c r="G120" i="39" a="1"/>
  <c r="G120" i="39" s="1"/>
  <c r="H120" i="39" s="1"/>
  <c r="G119" i="39" a="1"/>
  <c r="G119" i="39" s="1"/>
  <c r="H119" i="39" s="1"/>
  <c r="H118" i="39"/>
  <c r="G118" i="39"/>
  <c r="G118" i="39" a="1"/>
  <c r="G117" i="39"/>
  <c r="H117" i="39" s="1"/>
  <c r="G117" i="39" a="1"/>
  <c r="H111" i="39"/>
  <c r="H110" i="39"/>
  <c r="H112" i="39" s="1"/>
  <c r="H109" i="39"/>
  <c r="H108" i="39"/>
  <c r="G107" i="39"/>
  <c r="H107" i="39" s="1"/>
  <c r="G107" i="39" a="1"/>
  <c r="G106" i="39" a="1"/>
  <c r="G106" i="39" s="1"/>
  <c r="H106" i="39" s="1"/>
  <c r="G105" i="39" a="1"/>
  <c r="G105" i="39" s="1"/>
  <c r="H105" i="39" s="1"/>
  <c r="G104" i="39" a="1"/>
  <c r="G104" i="39" s="1"/>
  <c r="H104" i="39" s="1"/>
  <c r="H103" i="39"/>
  <c r="G103" i="39"/>
  <c r="G103" i="39" a="1"/>
  <c r="G102" i="39" a="1"/>
  <c r="G102" i="39" s="1"/>
  <c r="H102" i="39" s="1"/>
  <c r="G101" i="39" a="1"/>
  <c r="G101" i="39" s="1"/>
  <c r="H101" i="39" s="1"/>
  <c r="H100" i="39"/>
  <c r="G100" i="39"/>
  <c r="G100" i="39" a="1"/>
  <c r="G99" i="39"/>
  <c r="H99" i="39" s="1"/>
  <c r="G99" i="39" a="1"/>
  <c r="G98" i="39"/>
  <c r="H98" i="39" s="1"/>
  <c r="G98" i="39" a="1"/>
  <c r="G97" i="39" a="1"/>
  <c r="G97" i="39" s="1"/>
  <c r="H97" i="39" s="1"/>
  <c r="G96" i="39" a="1"/>
  <c r="G96" i="39" s="1"/>
  <c r="H96" i="39" s="1"/>
  <c r="H95" i="39"/>
  <c r="G95" i="39"/>
  <c r="G95" i="39" a="1"/>
  <c r="H89" i="39"/>
  <c r="H88" i="39"/>
  <c r="H87" i="39"/>
  <c r="H86" i="39"/>
  <c r="H90" i="39" s="1"/>
  <c r="H85" i="39"/>
  <c r="G85" i="39"/>
  <c r="G85" i="39" a="1"/>
  <c r="G84" i="39" a="1"/>
  <c r="G84" i="39" s="1"/>
  <c r="H84" i="39" s="1"/>
  <c r="G83" i="39" a="1"/>
  <c r="G83" i="39" s="1"/>
  <c r="H83" i="39" s="1"/>
  <c r="H82" i="39"/>
  <c r="G82" i="39"/>
  <c r="G82" i="39" a="1"/>
  <c r="G81" i="39"/>
  <c r="H81" i="39" s="1"/>
  <c r="G81" i="39" a="1"/>
  <c r="G80" i="39"/>
  <c r="H80" i="39" s="1"/>
  <c r="G80" i="39" a="1"/>
  <c r="G79" i="39" a="1"/>
  <c r="G79" i="39" s="1"/>
  <c r="H79" i="39" s="1"/>
  <c r="G78" i="39" a="1"/>
  <c r="G78" i="39" s="1"/>
  <c r="H78" i="39" s="1"/>
  <c r="H77" i="39"/>
  <c r="G77" i="39"/>
  <c r="G77" i="39" a="1"/>
  <c r="E72" i="39"/>
  <c r="D72" i="39"/>
  <c r="C72" i="39"/>
  <c r="F71" i="39"/>
  <c r="F70" i="39"/>
  <c r="F69" i="39"/>
  <c r="F68" i="39"/>
  <c r="F67" i="39"/>
  <c r="F66" i="39"/>
  <c r="F65" i="39"/>
  <c r="F64" i="39"/>
  <c r="F72" i="39" s="1"/>
  <c r="H56" i="39"/>
  <c r="H55" i="39"/>
  <c r="H57" i="39" s="1"/>
  <c r="H54" i="39"/>
  <c r="H53" i="39"/>
  <c r="G52" i="39"/>
  <c r="H52" i="39" s="1"/>
  <c r="G52" i="39" a="1"/>
  <c r="G51" i="39" a="1"/>
  <c r="G51" i="39" s="1"/>
  <c r="H51" i="39" s="1"/>
  <c r="G50" i="39" a="1"/>
  <c r="G50" i="39" s="1"/>
  <c r="H50" i="39" s="1"/>
  <c r="G49" i="39" a="1"/>
  <c r="G49" i="39" s="1"/>
  <c r="H49" i="39" s="1"/>
  <c r="G48" i="39"/>
  <c r="H48" i="39" s="1"/>
  <c r="G48" i="39" a="1"/>
  <c r="G47" i="39" a="1"/>
  <c r="G47" i="39" s="1"/>
  <c r="H47" i="39" s="1"/>
  <c r="G46" i="39" a="1"/>
  <c r="G46" i="39" s="1"/>
  <c r="H46" i="39" s="1"/>
  <c r="H45" i="39"/>
  <c r="G45" i="39"/>
  <c r="G45" i="39" a="1"/>
  <c r="G44" i="39"/>
  <c r="H44" i="39" s="1"/>
  <c r="G44" i="39" a="1"/>
  <c r="G43" i="39" a="1"/>
  <c r="G43" i="39" s="1"/>
  <c r="H43" i="39" s="1"/>
  <c r="G42" i="39" a="1"/>
  <c r="G42" i="39" s="1"/>
  <c r="H42" i="39" s="1"/>
  <c r="G41" i="39" a="1"/>
  <c r="G41" i="39" s="1"/>
  <c r="H41" i="39" s="1"/>
  <c r="H35" i="39"/>
  <c r="H132" i="39" s="1"/>
  <c r="G13" i="39" s="1"/>
  <c r="H34" i="39"/>
  <c r="H131" i="39" s="1"/>
  <c r="G12" i="39" s="1"/>
  <c r="H33" i="39"/>
  <c r="H130" i="39" s="1"/>
  <c r="G11" i="39" s="1"/>
  <c r="H32" i="39"/>
  <c r="H36" i="39" s="1"/>
  <c r="G31" i="39" a="1"/>
  <c r="G31" i="39" s="1"/>
  <c r="H31" i="39" s="1"/>
  <c r="G30" i="39"/>
  <c r="H30" i="39" s="1"/>
  <c r="G30" i="39" a="1"/>
  <c r="G29" i="39" a="1"/>
  <c r="G29" i="39" s="1"/>
  <c r="H29" i="39" s="1"/>
  <c r="G28" i="39" a="1"/>
  <c r="G28" i="39" s="1"/>
  <c r="H28" i="39" s="1"/>
  <c r="H27" i="39"/>
  <c r="G27" i="39"/>
  <c r="G27" i="39" a="1"/>
  <c r="C5" i="39"/>
  <c r="A2" i="39"/>
  <c r="H125" i="38"/>
  <c r="H126" i="38" s="1"/>
  <c r="H124" i="38"/>
  <c r="H123" i="38"/>
  <c r="H122" i="38"/>
  <c r="G121" i="38" a="1"/>
  <c r="G121" i="38" s="1"/>
  <c r="H121" i="38" s="1"/>
  <c r="G120" i="38"/>
  <c r="H120" i="38" s="1"/>
  <c r="G120" i="38" a="1"/>
  <c r="G119" i="38" a="1"/>
  <c r="G119" i="38" s="1"/>
  <c r="H119" i="38" s="1"/>
  <c r="G118" i="38" a="1"/>
  <c r="G118" i="38" s="1"/>
  <c r="H118" i="38" s="1"/>
  <c r="H117" i="38"/>
  <c r="G117" i="38"/>
  <c r="G117" i="38" a="1"/>
  <c r="H111" i="38"/>
  <c r="H110" i="38"/>
  <c r="H109" i="38"/>
  <c r="H108" i="38"/>
  <c r="H112" i="38" s="1"/>
  <c r="G107" i="38" a="1"/>
  <c r="G107" i="38" s="1"/>
  <c r="H107" i="38" s="1"/>
  <c r="G106" i="38" a="1"/>
  <c r="G106" i="38" s="1"/>
  <c r="H106" i="38" s="1"/>
  <c r="G105" i="38" a="1"/>
  <c r="G105" i="38" s="1"/>
  <c r="H105" i="38" s="1"/>
  <c r="G104" i="38" a="1"/>
  <c r="G104" i="38" s="1"/>
  <c r="H104" i="38" s="1"/>
  <c r="G103" i="38" a="1"/>
  <c r="G103" i="38" s="1"/>
  <c r="H103" i="38" s="1"/>
  <c r="G102" i="38"/>
  <c r="H102" i="38" s="1"/>
  <c r="G102" i="38" a="1"/>
  <c r="G101" i="38" a="1"/>
  <c r="G101" i="38" s="1"/>
  <c r="H101" i="38" s="1"/>
  <c r="G100" i="38" a="1"/>
  <c r="G100" i="38" s="1"/>
  <c r="H100" i="38" s="1"/>
  <c r="G99" i="38" a="1"/>
  <c r="G99" i="38" s="1"/>
  <c r="H99" i="38" s="1"/>
  <c r="G98" i="38" a="1"/>
  <c r="G98" i="38" s="1"/>
  <c r="H98" i="38" s="1"/>
  <c r="G97" i="38" a="1"/>
  <c r="G97" i="38" s="1"/>
  <c r="H97" i="38" s="1"/>
  <c r="G96" i="38" a="1"/>
  <c r="G96" i="38" s="1"/>
  <c r="H96" i="38" s="1"/>
  <c r="G95" i="38" a="1"/>
  <c r="G95" i="38" s="1"/>
  <c r="H95" i="38" s="1"/>
  <c r="H89" i="38"/>
  <c r="H90" i="38" s="1"/>
  <c r="H88" i="38"/>
  <c r="H87" i="38"/>
  <c r="H86" i="38"/>
  <c r="G85" i="38" a="1"/>
  <c r="G85" i="38" s="1"/>
  <c r="H85" i="38" s="1"/>
  <c r="G84" i="38"/>
  <c r="H84" i="38" s="1"/>
  <c r="G84" i="38" a="1"/>
  <c r="G83" i="38"/>
  <c r="H83" i="38" s="1"/>
  <c r="G83" i="38" a="1"/>
  <c r="G82" i="38" a="1"/>
  <c r="G82" i="38" s="1"/>
  <c r="H82" i="38" s="1"/>
  <c r="G81" i="38" a="1"/>
  <c r="G81" i="38" s="1"/>
  <c r="H81" i="38" s="1"/>
  <c r="G80" i="38" a="1"/>
  <c r="G80" i="38" s="1"/>
  <c r="H80" i="38" s="1"/>
  <c r="G79" i="38" a="1"/>
  <c r="G79" i="38" s="1"/>
  <c r="H79" i="38" s="1"/>
  <c r="G78" i="38" a="1"/>
  <c r="G78" i="38" s="1"/>
  <c r="H78" i="38" s="1"/>
  <c r="G77" i="38" a="1"/>
  <c r="G77" i="38" s="1"/>
  <c r="H77" i="38" s="1"/>
  <c r="E72" i="38"/>
  <c r="D72" i="38"/>
  <c r="C72" i="38"/>
  <c r="F71" i="38"/>
  <c r="F70" i="38"/>
  <c r="F69" i="38"/>
  <c r="F68" i="38"/>
  <c r="F67" i="38"/>
  <c r="F66" i="38"/>
  <c r="F72" i="38" s="1"/>
  <c r="F65" i="38"/>
  <c r="F64" i="38"/>
  <c r="H56" i="38"/>
  <c r="H55" i="38"/>
  <c r="H54" i="38"/>
  <c r="H53" i="38"/>
  <c r="H57" i="38" s="1"/>
  <c r="G52" i="38" a="1"/>
  <c r="G52" i="38" s="1"/>
  <c r="H52" i="38" s="1"/>
  <c r="G51" i="38" a="1"/>
  <c r="G51" i="38" s="1"/>
  <c r="H51" i="38" s="1"/>
  <c r="G50" i="38" a="1"/>
  <c r="G50" i="38" s="1"/>
  <c r="H50" i="38" s="1"/>
  <c r="G49" i="38" a="1"/>
  <c r="G49" i="38" s="1"/>
  <c r="H49" i="38" s="1"/>
  <c r="G48" i="38" a="1"/>
  <c r="G48" i="38" s="1"/>
  <c r="H48" i="38" s="1"/>
  <c r="G47" i="38"/>
  <c r="H47" i="38" s="1"/>
  <c r="G47" i="38" a="1"/>
  <c r="G46" i="38"/>
  <c r="H46" i="38" s="1"/>
  <c r="G46" i="38" a="1"/>
  <c r="G45" i="38" a="1"/>
  <c r="G45" i="38" s="1"/>
  <c r="H45" i="38" s="1"/>
  <c r="G44" i="38" a="1"/>
  <c r="G44" i="38" s="1"/>
  <c r="H44" i="38" s="1"/>
  <c r="G43" i="38" a="1"/>
  <c r="G43" i="38" s="1"/>
  <c r="H43" i="38" s="1"/>
  <c r="G42" i="38" a="1"/>
  <c r="G42" i="38" s="1"/>
  <c r="H42" i="38" s="1"/>
  <c r="G41" i="38" a="1"/>
  <c r="G41" i="38" s="1"/>
  <c r="H41" i="38" s="1"/>
  <c r="H35" i="38"/>
  <c r="H132" i="38" s="1"/>
  <c r="G13" i="38" s="1"/>
  <c r="H34" i="38"/>
  <c r="H131" i="38" s="1"/>
  <c r="G12" i="38" s="1"/>
  <c r="H33" i="38"/>
  <c r="H130" i="38" s="1"/>
  <c r="G11" i="38" s="1"/>
  <c r="H32" i="38"/>
  <c r="H36" i="38" s="1"/>
  <c r="G31" i="38" a="1"/>
  <c r="G31" i="38" s="1"/>
  <c r="H31" i="38" s="1"/>
  <c r="G30" i="38" a="1"/>
  <c r="G30" i="38" s="1"/>
  <c r="H30" i="38" s="1"/>
  <c r="G29" i="38"/>
  <c r="H29" i="38" s="1"/>
  <c r="G29" i="38" a="1"/>
  <c r="G28" i="38"/>
  <c r="H28" i="38" s="1"/>
  <c r="G28" i="38" a="1"/>
  <c r="G27" i="38" a="1"/>
  <c r="G27" i="38" s="1"/>
  <c r="H27" i="38" s="1"/>
  <c r="C5" i="38"/>
  <c r="A2" i="38"/>
  <c r="H125" i="37"/>
  <c r="H126" i="37" s="1"/>
  <c r="H124" i="37"/>
  <c r="H123" i="37"/>
  <c r="H122" i="37"/>
  <c r="G121" i="37" a="1"/>
  <c r="G121" i="37" s="1"/>
  <c r="H121" i="37" s="1"/>
  <c r="G120" i="37"/>
  <c r="H120" i="37" s="1"/>
  <c r="G120" i="37" a="1"/>
  <c r="G119" i="37" a="1"/>
  <c r="G119" i="37" s="1"/>
  <c r="H119" i="37" s="1"/>
  <c r="G118" i="37" a="1"/>
  <c r="G118" i="37" s="1"/>
  <c r="H118" i="37" s="1"/>
  <c r="G117" i="37" a="1"/>
  <c r="G117" i="37" s="1"/>
  <c r="H117" i="37" s="1"/>
  <c r="H111" i="37"/>
  <c r="H110" i="37"/>
  <c r="H109" i="37"/>
  <c r="H108" i="37"/>
  <c r="H112" i="37" s="1"/>
  <c r="G107" i="37" a="1"/>
  <c r="G107" i="37" s="1"/>
  <c r="H107" i="37" s="1"/>
  <c r="G106" i="37" a="1"/>
  <c r="G106" i="37" s="1"/>
  <c r="H106" i="37" s="1"/>
  <c r="G105" i="37" a="1"/>
  <c r="G105" i="37" s="1"/>
  <c r="H105" i="37" s="1"/>
  <c r="G104" i="37"/>
  <c r="H104" i="37" s="1"/>
  <c r="G104" i="37" a="1"/>
  <c r="G103" i="37" a="1"/>
  <c r="G103" i="37" s="1"/>
  <c r="H103" i="37" s="1"/>
  <c r="G102" i="37"/>
  <c r="H102" i="37" s="1"/>
  <c r="G102" i="37" a="1"/>
  <c r="G101" i="37" a="1"/>
  <c r="G101" i="37" s="1"/>
  <c r="H101" i="37" s="1"/>
  <c r="G100" i="37" a="1"/>
  <c r="G100" i="37" s="1"/>
  <c r="H100" i="37" s="1"/>
  <c r="G99" i="37" a="1"/>
  <c r="G99" i="37" s="1"/>
  <c r="H99" i="37" s="1"/>
  <c r="G98" i="37" a="1"/>
  <c r="G98" i="37" s="1"/>
  <c r="H98" i="37" s="1"/>
  <c r="G97" i="37" a="1"/>
  <c r="G97" i="37" s="1"/>
  <c r="H97" i="37" s="1"/>
  <c r="G96" i="37"/>
  <c r="H96" i="37" s="1"/>
  <c r="G96" i="37" a="1"/>
  <c r="G95" i="37" a="1"/>
  <c r="G95" i="37" s="1"/>
  <c r="H95" i="37" s="1"/>
  <c r="H89" i="37"/>
  <c r="H90" i="37" s="1"/>
  <c r="H88" i="37"/>
  <c r="H87" i="37"/>
  <c r="H86" i="37"/>
  <c r="G85" i="37" a="1"/>
  <c r="G85" i="37" s="1"/>
  <c r="H85" i="37" s="1"/>
  <c r="G84" i="37"/>
  <c r="H84" i="37" s="1"/>
  <c r="G84" i="37" a="1"/>
  <c r="G83" i="37" a="1"/>
  <c r="G83" i="37" s="1"/>
  <c r="H83" i="37" s="1"/>
  <c r="G82" i="37" a="1"/>
  <c r="G82" i="37" s="1"/>
  <c r="H82" i="37" s="1"/>
  <c r="G81" i="37" a="1"/>
  <c r="G81" i="37" s="1"/>
  <c r="H81" i="37" s="1"/>
  <c r="G80" i="37" a="1"/>
  <c r="G80" i="37" s="1"/>
  <c r="H80" i="37" s="1"/>
  <c r="G79" i="37" a="1"/>
  <c r="G79" i="37" s="1"/>
  <c r="H79" i="37" s="1"/>
  <c r="H78" i="37"/>
  <c r="G78" i="37"/>
  <c r="G78" i="37" a="1"/>
  <c r="G77" i="37" a="1"/>
  <c r="G77" i="37" s="1"/>
  <c r="H77" i="37" s="1"/>
  <c r="E72" i="37"/>
  <c r="D72" i="37"/>
  <c r="C72" i="37"/>
  <c r="F71" i="37"/>
  <c r="F70" i="37"/>
  <c r="F69" i="37"/>
  <c r="F68" i="37"/>
  <c r="F67" i="37"/>
  <c r="F66" i="37"/>
  <c r="F72" i="37" s="1"/>
  <c r="F65" i="37"/>
  <c r="F64" i="37"/>
  <c r="H56" i="37"/>
  <c r="H55" i="37"/>
  <c r="H54" i="37"/>
  <c r="H53" i="37"/>
  <c r="H57" i="37" s="1"/>
  <c r="G52" i="37" a="1"/>
  <c r="G52" i="37" s="1"/>
  <c r="H52" i="37" s="1"/>
  <c r="G51" i="37" a="1"/>
  <c r="G51" i="37" s="1"/>
  <c r="H51" i="37" s="1"/>
  <c r="G50" i="37" a="1"/>
  <c r="G50" i="37" s="1"/>
  <c r="H50" i="37" s="1"/>
  <c r="G49" i="37"/>
  <c r="H49" i="37" s="1"/>
  <c r="G49" i="37" a="1"/>
  <c r="G48" i="37" a="1"/>
  <c r="G48" i="37" s="1"/>
  <c r="H48" i="37" s="1"/>
  <c r="G47" i="37"/>
  <c r="H47" i="37" s="1"/>
  <c r="G47" i="37" a="1"/>
  <c r="H46" i="37"/>
  <c r="G46" i="37"/>
  <c r="G46" i="37" a="1"/>
  <c r="G45" i="37" a="1"/>
  <c r="G45" i="37" s="1"/>
  <c r="H45" i="37" s="1"/>
  <c r="G44" i="37" a="1"/>
  <c r="G44" i="37" s="1"/>
  <c r="H44" i="37" s="1"/>
  <c r="G43" i="37" a="1"/>
  <c r="G43" i="37" s="1"/>
  <c r="H43" i="37" s="1"/>
  <c r="G42" i="37" a="1"/>
  <c r="G42" i="37" s="1"/>
  <c r="H42" i="37" s="1"/>
  <c r="G41" i="37"/>
  <c r="H41" i="37" s="1"/>
  <c r="G41" i="37" a="1"/>
  <c r="H35" i="37"/>
  <c r="H132" i="37" s="1"/>
  <c r="G13" i="37" s="1"/>
  <c r="H34" i="37"/>
  <c r="H131" i="37" s="1"/>
  <c r="G12" i="37" s="1"/>
  <c r="H33" i="37"/>
  <c r="H130" i="37" s="1"/>
  <c r="G11" i="37" s="1"/>
  <c r="H32" i="37"/>
  <c r="H36" i="37" s="1"/>
  <c r="H133" i="37" s="1"/>
  <c r="G14" i="37" s="1"/>
  <c r="H31" i="20" s="1"/>
  <c r="G31" i="37" a="1"/>
  <c r="G31" i="37" s="1"/>
  <c r="H31" i="37" s="1"/>
  <c r="G30" i="37" a="1"/>
  <c r="G30" i="37" s="1"/>
  <c r="H30" i="37" s="1"/>
  <c r="G29" i="37"/>
  <c r="H29" i="37" s="1"/>
  <c r="G29" i="37" a="1"/>
  <c r="G28" i="37"/>
  <c r="H28" i="37" s="1"/>
  <c r="G28" i="37" a="1"/>
  <c r="G27" i="37" a="1"/>
  <c r="G27" i="37" s="1"/>
  <c r="H27" i="37" s="1"/>
  <c r="C5" i="37"/>
  <c r="A2" i="37"/>
  <c r="H125" i="36"/>
  <c r="H124" i="36"/>
  <c r="H126" i="36" s="1"/>
  <c r="H123" i="36"/>
  <c r="H122" i="36"/>
  <c r="G121" i="36" a="1"/>
  <c r="G121" i="36" s="1"/>
  <c r="H121" i="36" s="1"/>
  <c r="G120" i="36" a="1"/>
  <c r="G120" i="36" s="1"/>
  <c r="H120" i="36" s="1"/>
  <c r="G119" i="36"/>
  <c r="H119" i="36" s="1"/>
  <c r="G119" i="36" a="1"/>
  <c r="G118" i="36"/>
  <c r="H118" i="36" s="1"/>
  <c r="G118" i="36" a="1"/>
  <c r="G117" i="36"/>
  <c r="H117" i="36" s="1"/>
  <c r="G117" i="36" a="1"/>
  <c r="H111" i="36"/>
  <c r="H110" i="36"/>
  <c r="H109" i="36"/>
  <c r="H108" i="36"/>
  <c r="H112" i="36" s="1"/>
  <c r="G107" i="36"/>
  <c r="H107" i="36" s="1"/>
  <c r="G107" i="36" a="1"/>
  <c r="G106" i="36" a="1"/>
  <c r="G106" i="36" s="1"/>
  <c r="H106" i="36" s="1"/>
  <c r="G105" i="36" a="1"/>
  <c r="G105" i="36" s="1"/>
  <c r="H105" i="36" s="1"/>
  <c r="H104" i="36"/>
  <c r="G104" i="36"/>
  <c r="G104" i="36" a="1"/>
  <c r="G103" i="36" a="1"/>
  <c r="G103" i="36" s="1"/>
  <c r="H103" i="36" s="1"/>
  <c r="G102" i="36" a="1"/>
  <c r="G102" i="36" s="1"/>
  <c r="H102" i="36" s="1"/>
  <c r="H101" i="36"/>
  <c r="G101" i="36"/>
  <c r="G101" i="36" a="1"/>
  <c r="G100" i="36" a="1"/>
  <c r="G100" i="36" s="1"/>
  <c r="H100" i="36" s="1"/>
  <c r="G99" i="36"/>
  <c r="H99" i="36" s="1"/>
  <c r="G99" i="36" a="1"/>
  <c r="G98" i="36" a="1"/>
  <c r="G98" i="36" s="1"/>
  <c r="H98" i="36" s="1"/>
  <c r="G97" i="36" a="1"/>
  <c r="G97" i="36" s="1"/>
  <c r="H97" i="36" s="1"/>
  <c r="H96" i="36"/>
  <c r="G96" i="36"/>
  <c r="G96" i="36" a="1"/>
  <c r="G95" i="36" a="1"/>
  <c r="G95" i="36" s="1"/>
  <c r="H95" i="36" s="1"/>
  <c r="H89" i="36"/>
  <c r="H88" i="36"/>
  <c r="H90" i="36" s="1"/>
  <c r="H87" i="36"/>
  <c r="H86" i="36"/>
  <c r="G85" i="36" a="1"/>
  <c r="G85" i="36" s="1"/>
  <c r="H85" i="36" s="1"/>
  <c r="G84" i="36" a="1"/>
  <c r="G84" i="36" s="1"/>
  <c r="H84" i="36" s="1"/>
  <c r="H83" i="36"/>
  <c r="G83" i="36"/>
  <c r="G83" i="36" a="1"/>
  <c r="G82" i="36" a="1"/>
  <c r="G82" i="36" s="1"/>
  <c r="H82" i="36" s="1"/>
  <c r="G81" i="36"/>
  <c r="H81" i="36" s="1"/>
  <c r="G81" i="36" a="1"/>
  <c r="G80" i="36" a="1"/>
  <c r="G80" i="36" s="1"/>
  <c r="H80" i="36" s="1"/>
  <c r="G79" i="36" a="1"/>
  <c r="G79" i="36" s="1"/>
  <c r="H79" i="36" s="1"/>
  <c r="H78" i="36"/>
  <c r="G78" i="36"/>
  <c r="G78" i="36" a="1"/>
  <c r="G77" i="36" a="1"/>
  <c r="G77" i="36" s="1"/>
  <c r="H77" i="36" s="1"/>
  <c r="E72" i="36"/>
  <c r="D72" i="36"/>
  <c r="C72" i="36"/>
  <c r="F71" i="36"/>
  <c r="F70" i="36"/>
  <c r="F69" i="36"/>
  <c r="F68" i="36"/>
  <c r="F67" i="36"/>
  <c r="F66" i="36"/>
  <c r="F65" i="36"/>
  <c r="F72" i="36" s="1"/>
  <c r="F64" i="36"/>
  <c r="H56" i="36"/>
  <c r="H55" i="36"/>
  <c r="H54" i="36"/>
  <c r="H53" i="36"/>
  <c r="H57" i="36" s="1"/>
  <c r="G52" i="36"/>
  <c r="H52" i="36" s="1"/>
  <c r="G52" i="36" a="1"/>
  <c r="G51" i="36" a="1"/>
  <c r="G51" i="36" s="1"/>
  <c r="H51" i="36" s="1"/>
  <c r="G50" i="36" a="1"/>
  <c r="G50" i="36" s="1"/>
  <c r="H50" i="36" s="1"/>
  <c r="H49" i="36"/>
  <c r="G49" i="36"/>
  <c r="G49" i="36" a="1"/>
  <c r="G48" i="36" a="1"/>
  <c r="G48" i="36" s="1"/>
  <c r="H48" i="36" s="1"/>
  <c r="G47" i="36" a="1"/>
  <c r="G47" i="36" s="1"/>
  <c r="H47" i="36" s="1"/>
  <c r="H46" i="36"/>
  <c r="G46" i="36"/>
  <c r="G46" i="36" a="1"/>
  <c r="G45" i="36" a="1"/>
  <c r="G45" i="36" s="1"/>
  <c r="H45" i="36" s="1"/>
  <c r="G44" i="36"/>
  <c r="H44" i="36" s="1"/>
  <c r="G44" i="36" a="1"/>
  <c r="G43" i="36" a="1"/>
  <c r="G43" i="36" s="1"/>
  <c r="H43" i="36" s="1"/>
  <c r="G42" i="36" a="1"/>
  <c r="G42" i="36" s="1"/>
  <c r="H42" i="36" s="1"/>
  <c r="H41" i="36"/>
  <c r="G41" i="36"/>
  <c r="G41" i="36" a="1"/>
  <c r="H35" i="36"/>
  <c r="H132" i="36" s="1"/>
  <c r="G13" i="36" s="1"/>
  <c r="H34" i="36"/>
  <c r="H131" i="36" s="1"/>
  <c r="G12" i="36" s="1"/>
  <c r="H33" i="36"/>
  <c r="H130" i="36" s="1"/>
  <c r="G11" i="36" s="1"/>
  <c r="H32" i="36"/>
  <c r="H36" i="36" s="1"/>
  <c r="G31" i="36" a="1"/>
  <c r="G31" i="36" s="1"/>
  <c r="H31" i="36" s="1"/>
  <c r="G30" i="36" a="1"/>
  <c r="G30" i="36" s="1"/>
  <c r="H30" i="36" s="1"/>
  <c r="G29" i="36" a="1"/>
  <c r="G29" i="36" s="1"/>
  <c r="H29" i="36" s="1"/>
  <c r="G28" i="36"/>
  <c r="H28" i="36" s="1"/>
  <c r="G28" i="36" a="1"/>
  <c r="G27" i="36" a="1"/>
  <c r="G27" i="36" s="1"/>
  <c r="H27" i="36" s="1"/>
  <c r="C5" i="36"/>
  <c r="A2" i="36"/>
  <c r="H125" i="35"/>
  <c r="H124" i="35"/>
  <c r="H123" i="35"/>
  <c r="H122" i="35"/>
  <c r="H126" i="35" s="1"/>
  <c r="G121" i="35" a="1"/>
  <c r="G121" i="35" s="1"/>
  <c r="H121" i="35" s="1"/>
  <c r="G120" i="35" a="1"/>
  <c r="G120" i="35" s="1"/>
  <c r="H120" i="35" s="1"/>
  <c r="H119" i="35"/>
  <c r="G119" i="35"/>
  <c r="G119" i="35" a="1"/>
  <c r="G118" i="35"/>
  <c r="H118" i="35" s="1"/>
  <c r="G118" i="35" a="1"/>
  <c r="G117" i="35"/>
  <c r="H117" i="35" s="1"/>
  <c r="G117" i="35" a="1"/>
  <c r="H111" i="35"/>
  <c r="H110" i="35"/>
  <c r="H109" i="35"/>
  <c r="H108" i="35"/>
  <c r="H112" i="35" s="1"/>
  <c r="G107" i="35"/>
  <c r="H107" i="35" s="1"/>
  <c r="G107" i="35" a="1"/>
  <c r="G106" i="35" a="1"/>
  <c r="G106" i="35" s="1"/>
  <c r="H106" i="35" s="1"/>
  <c r="G105" i="35" a="1"/>
  <c r="G105" i="35" s="1"/>
  <c r="H105" i="35" s="1"/>
  <c r="H104" i="35"/>
  <c r="G104" i="35"/>
  <c r="G104" i="35" a="1"/>
  <c r="G103" i="35" a="1"/>
  <c r="G103" i="35" s="1"/>
  <c r="H103" i="35" s="1"/>
  <c r="G102" i="35" a="1"/>
  <c r="G102" i="35" s="1"/>
  <c r="H102" i="35" s="1"/>
  <c r="G101" i="35" a="1"/>
  <c r="G101" i="35" s="1"/>
  <c r="H101" i="35" s="1"/>
  <c r="G100" i="35"/>
  <c r="H100" i="35" s="1"/>
  <c r="G100" i="35" a="1"/>
  <c r="G99" i="35"/>
  <c r="H99" i="35" s="1"/>
  <c r="G99" i="35" a="1"/>
  <c r="G98" i="35" a="1"/>
  <c r="G98" i="35" s="1"/>
  <c r="H98" i="35" s="1"/>
  <c r="G97" i="35" a="1"/>
  <c r="G97" i="35" s="1"/>
  <c r="H97" i="35" s="1"/>
  <c r="H96" i="35"/>
  <c r="G96" i="35"/>
  <c r="G96" i="35" a="1"/>
  <c r="G95" i="35" a="1"/>
  <c r="G95" i="35" s="1"/>
  <c r="H95" i="35" s="1"/>
  <c r="H89" i="35"/>
  <c r="H88" i="35"/>
  <c r="H87" i="35"/>
  <c r="H86" i="35"/>
  <c r="H90" i="35" s="1"/>
  <c r="G85" i="35" a="1"/>
  <c r="G85" i="35" s="1"/>
  <c r="H85" i="35" s="1"/>
  <c r="G84" i="35" a="1"/>
  <c r="G84" i="35" s="1"/>
  <c r="H84" i="35" s="1"/>
  <c r="G83" i="35" a="1"/>
  <c r="G83" i="35" s="1"/>
  <c r="H83" i="35" s="1"/>
  <c r="G82" i="35"/>
  <c r="H82" i="35" s="1"/>
  <c r="G82" i="35" a="1"/>
  <c r="G81" i="35"/>
  <c r="H81" i="35" s="1"/>
  <c r="G81" i="35" a="1"/>
  <c r="G80" i="35" a="1"/>
  <c r="G80" i="35" s="1"/>
  <c r="H80" i="35" s="1"/>
  <c r="G79" i="35" a="1"/>
  <c r="G79" i="35" s="1"/>
  <c r="H79" i="35" s="1"/>
  <c r="H78" i="35"/>
  <c r="G78" i="35"/>
  <c r="G78" i="35" a="1"/>
  <c r="G77" i="35" a="1"/>
  <c r="G77" i="35" s="1"/>
  <c r="H77" i="35" s="1"/>
  <c r="E72" i="35"/>
  <c r="D72" i="35"/>
  <c r="C72" i="35"/>
  <c r="F71" i="35"/>
  <c r="F70" i="35"/>
  <c r="F69" i="35"/>
  <c r="F68" i="35"/>
  <c r="F67" i="35"/>
  <c r="F66" i="35"/>
  <c r="F65" i="35"/>
  <c r="F64" i="35"/>
  <c r="F72" i="35" s="1"/>
  <c r="H56" i="35"/>
  <c r="H55" i="35"/>
  <c r="H54" i="35"/>
  <c r="H57" i="35" s="1"/>
  <c r="H53" i="35"/>
  <c r="G52" i="35"/>
  <c r="H52" i="35" s="1"/>
  <c r="G52" i="35" a="1"/>
  <c r="G51" i="35" a="1"/>
  <c r="G51" i="35" s="1"/>
  <c r="H51" i="35" s="1"/>
  <c r="G50" i="35" a="1"/>
  <c r="G50" i="35" s="1"/>
  <c r="H50" i="35" s="1"/>
  <c r="H49" i="35"/>
  <c r="G49" i="35"/>
  <c r="G49" i="35" a="1"/>
  <c r="G48" i="35" a="1"/>
  <c r="G48" i="35" s="1"/>
  <c r="H48" i="35" s="1"/>
  <c r="G47" i="35" a="1"/>
  <c r="G47" i="35" s="1"/>
  <c r="H47" i="35" s="1"/>
  <c r="H46" i="35"/>
  <c r="G46" i="35"/>
  <c r="G46" i="35" a="1"/>
  <c r="G45" i="35"/>
  <c r="H45" i="35" s="1"/>
  <c r="G45" i="35" a="1"/>
  <c r="G44" i="35"/>
  <c r="H44" i="35" s="1"/>
  <c r="G44" i="35" a="1"/>
  <c r="G43" i="35" a="1"/>
  <c r="G43" i="35" s="1"/>
  <c r="H43" i="35" s="1"/>
  <c r="G42" i="35" a="1"/>
  <c r="G42" i="35" s="1"/>
  <c r="H42" i="35" s="1"/>
  <c r="H41" i="35"/>
  <c r="G41" i="35"/>
  <c r="G41" i="35" a="1"/>
  <c r="H35" i="35"/>
  <c r="H132" i="35" s="1"/>
  <c r="G13" i="35" s="1"/>
  <c r="H34" i="35"/>
  <c r="H131" i="35" s="1"/>
  <c r="G12" i="35" s="1"/>
  <c r="H33" i="35"/>
  <c r="H130" i="35" s="1"/>
  <c r="G11" i="35" s="1"/>
  <c r="H32" i="35"/>
  <c r="H36" i="35" s="1"/>
  <c r="H133" i="35" s="1"/>
  <c r="G14" i="35" s="1"/>
  <c r="H29" i="20" s="1"/>
  <c r="H31" i="35"/>
  <c r="G31" i="35"/>
  <c r="G31" i="35" a="1"/>
  <c r="G30" i="35" a="1"/>
  <c r="G30" i="35" s="1"/>
  <c r="H30" i="35" s="1"/>
  <c r="G29" i="35" a="1"/>
  <c r="G29" i="35" s="1"/>
  <c r="H29" i="35" s="1"/>
  <c r="H28" i="35"/>
  <c r="G28" i="35"/>
  <c r="G28" i="35" a="1"/>
  <c r="G27" i="35"/>
  <c r="H27" i="35" s="1"/>
  <c r="G27" i="35" a="1"/>
  <c r="C5" i="35"/>
  <c r="A2" i="35"/>
  <c r="H126" i="34"/>
  <c r="H125" i="34"/>
  <c r="H124" i="34"/>
  <c r="H123" i="34"/>
  <c r="H122" i="34"/>
  <c r="G121" i="34" a="1"/>
  <c r="G121" i="34" s="1"/>
  <c r="H121" i="34" s="1"/>
  <c r="G120" i="34" a="1"/>
  <c r="G120" i="34" s="1"/>
  <c r="H120" i="34" s="1"/>
  <c r="G119" i="34" a="1"/>
  <c r="G119" i="34" s="1"/>
  <c r="H119" i="34" s="1"/>
  <c r="G118" i="34" a="1"/>
  <c r="G118" i="34" s="1"/>
  <c r="H118" i="34" s="1"/>
  <c r="G117" i="34"/>
  <c r="H117" i="34" s="1"/>
  <c r="G117" i="34" a="1"/>
  <c r="H111" i="34"/>
  <c r="H110" i="34"/>
  <c r="H109" i="34"/>
  <c r="H108" i="34"/>
  <c r="G107" i="34"/>
  <c r="H107" i="34" s="1"/>
  <c r="G107" i="34" a="1"/>
  <c r="G106" i="34" a="1"/>
  <c r="G106" i="34" s="1"/>
  <c r="H106" i="34" s="1"/>
  <c r="G105" i="34"/>
  <c r="H105" i="34" s="1"/>
  <c r="G105" i="34" a="1"/>
  <c r="H104" i="34"/>
  <c r="G104" i="34"/>
  <c r="G104" i="34" a="1"/>
  <c r="G103" i="34" a="1"/>
  <c r="G103" i="34" s="1"/>
  <c r="H103" i="34" s="1"/>
  <c r="G102" i="34" a="1"/>
  <c r="G102" i="34" s="1"/>
  <c r="H102" i="34" s="1"/>
  <c r="G101" i="34" a="1"/>
  <c r="G101" i="34" s="1"/>
  <c r="H101" i="34" s="1"/>
  <c r="G100" i="34" a="1"/>
  <c r="G100" i="34" s="1"/>
  <c r="H100" i="34" s="1"/>
  <c r="G99" i="34"/>
  <c r="H99" i="34" s="1"/>
  <c r="G99" i="34" a="1"/>
  <c r="G98" i="34" a="1"/>
  <c r="G98" i="34" s="1"/>
  <c r="H98" i="34" s="1"/>
  <c r="G97" i="34"/>
  <c r="H97" i="34" s="1"/>
  <c r="G97" i="34" a="1"/>
  <c r="H96" i="34"/>
  <c r="G96" i="34"/>
  <c r="G96" i="34" a="1"/>
  <c r="G95" i="34" a="1"/>
  <c r="G95" i="34" s="1"/>
  <c r="H95" i="34" s="1"/>
  <c r="H89" i="34"/>
  <c r="H88" i="34"/>
  <c r="H90" i="34" s="1"/>
  <c r="H87" i="34"/>
  <c r="H86" i="34"/>
  <c r="G85" i="34" a="1"/>
  <c r="G85" i="34" s="1"/>
  <c r="H85" i="34" s="1"/>
  <c r="G84" i="34" a="1"/>
  <c r="G84" i="34" s="1"/>
  <c r="H84" i="34" s="1"/>
  <c r="G83" i="34" a="1"/>
  <c r="G83" i="34" s="1"/>
  <c r="H83" i="34" s="1"/>
  <c r="G82" i="34" a="1"/>
  <c r="G82" i="34" s="1"/>
  <c r="H82" i="34" s="1"/>
  <c r="G81" i="34"/>
  <c r="H81" i="34" s="1"/>
  <c r="G81" i="34" a="1"/>
  <c r="G80" i="34" a="1"/>
  <c r="G80" i="34" s="1"/>
  <c r="H80" i="34" s="1"/>
  <c r="G79" i="34"/>
  <c r="H79" i="34" s="1"/>
  <c r="G79" i="34" a="1"/>
  <c r="G78" i="34" a="1"/>
  <c r="G78" i="34" s="1"/>
  <c r="H78" i="34" s="1"/>
  <c r="G77" i="34" a="1"/>
  <c r="G77" i="34" s="1"/>
  <c r="H77" i="34" s="1"/>
  <c r="E72" i="34"/>
  <c r="D72" i="34"/>
  <c r="C72" i="34"/>
  <c r="F71" i="34"/>
  <c r="F70" i="34"/>
  <c r="F69" i="34"/>
  <c r="F68" i="34"/>
  <c r="F67" i="34"/>
  <c r="F66" i="34"/>
  <c r="F65" i="34"/>
  <c r="F72" i="34" s="1"/>
  <c r="F64" i="34"/>
  <c r="H56" i="34"/>
  <c r="H55" i="34"/>
  <c r="H54" i="34"/>
  <c r="H53" i="34"/>
  <c r="H57" i="34" s="1"/>
  <c r="G52" i="34"/>
  <c r="H52" i="34" s="1"/>
  <c r="G52" i="34" a="1"/>
  <c r="G51" i="34" a="1"/>
  <c r="G51" i="34" s="1"/>
  <c r="H51" i="34" s="1"/>
  <c r="G50" i="34"/>
  <c r="H50" i="34" s="1"/>
  <c r="G50" i="34" a="1"/>
  <c r="G49" i="34" a="1"/>
  <c r="G49" i="34" s="1"/>
  <c r="H49" i="34" s="1"/>
  <c r="G48" i="34" a="1"/>
  <c r="G48" i="34" s="1"/>
  <c r="H48" i="34" s="1"/>
  <c r="G47" i="34" a="1"/>
  <c r="G47" i="34" s="1"/>
  <c r="H47" i="34" s="1"/>
  <c r="G46" i="34" a="1"/>
  <c r="G46" i="34" s="1"/>
  <c r="H46" i="34" s="1"/>
  <c r="G45" i="34" a="1"/>
  <c r="G45" i="34" s="1"/>
  <c r="H45" i="34" s="1"/>
  <c r="G44" i="34"/>
  <c r="H44" i="34" s="1"/>
  <c r="G44" i="34" a="1"/>
  <c r="G43" i="34" a="1"/>
  <c r="G43" i="34" s="1"/>
  <c r="H43" i="34" s="1"/>
  <c r="G42" i="34"/>
  <c r="H42" i="34" s="1"/>
  <c r="G42" i="34" a="1"/>
  <c r="G41" i="34" a="1"/>
  <c r="G41" i="34" s="1"/>
  <c r="H41" i="34" s="1"/>
  <c r="H35" i="34"/>
  <c r="H132" i="34" s="1"/>
  <c r="G13" i="34" s="1"/>
  <c r="H34" i="34"/>
  <c r="H131" i="34" s="1"/>
  <c r="G12" i="34" s="1"/>
  <c r="H33" i="34"/>
  <c r="H130" i="34" s="1"/>
  <c r="G11" i="34" s="1"/>
  <c r="H32" i="34"/>
  <c r="H36" i="34" s="1"/>
  <c r="G31" i="34" a="1"/>
  <c r="G31" i="34" s="1"/>
  <c r="H31" i="34" s="1"/>
  <c r="G30" i="34" a="1"/>
  <c r="G30" i="34" s="1"/>
  <c r="H30" i="34" s="1"/>
  <c r="G29" i="34" a="1"/>
  <c r="G29" i="34" s="1"/>
  <c r="H29" i="34" s="1"/>
  <c r="G28" i="34" a="1"/>
  <c r="G28" i="34" s="1"/>
  <c r="H28" i="34" s="1"/>
  <c r="G27" i="34" a="1"/>
  <c r="G27" i="34" s="1"/>
  <c r="H27" i="34" s="1"/>
  <c r="C5" i="34"/>
  <c r="A2" i="34"/>
  <c r="H125" i="33"/>
  <c r="H124" i="33"/>
  <c r="H123" i="33"/>
  <c r="H122" i="33"/>
  <c r="H126" i="33" s="1"/>
  <c r="G121" i="33" a="1"/>
  <c r="G121" i="33" s="1"/>
  <c r="H121" i="33" s="1"/>
  <c r="G120" i="33" a="1"/>
  <c r="G120" i="33" s="1"/>
  <c r="H120" i="33" s="1"/>
  <c r="H119" i="33"/>
  <c r="G119" i="33"/>
  <c r="G119" i="33" a="1"/>
  <c r="G118" i="33"/>
  <c r="H118" i="33" s="1"/>
  <c r="G118" i="33" a="1"/>
  <c r="G117" i="33"/>
  <c r="H117" i="33" s="1"/>
  <c r="G117" i="33" a="1"/>
  <c r="H111" i="33"/>
  <c r="H110" i="33"/>
  <c r="H109" i="33"/>
  <c r="H108" i="33"/>
  <c r="H112" i="33" s="1"/>
  <c r="G107" i="33"/>
  <c r="H107" i="33" s="1"/>
  <c r="G107" i="33" a="1"/>
  <c r="G106" i="33" a="1"/>
  <c r="G106" i="33" s="1"/>
  <c r="H106" i="33" s="1"/>
  <c r="G105" i="33" a="1"/>
  <c r="G105" i="33" s="1"/>
  <c r="H105" i="33" s="1"/>
  <c r="H104" i="33"/>
  <c r="G104" i="33"/>
  <c r="G104" i="33" a="1"/>
  <c r="G103" i="33" a="1"/>
  <c r="G103" i="33" s="1"/>
  <c r="H103" i="33" s="1"/>
  <c r="G102" i="33" a="1"/>
  <c r="G102" i="33" s="1"/>
  <c r="H102" i="33" s="1"/>
  <c r="G101" i="33" a="1"/>
  <c r="G101" i="33" s="1"/>
  <c r="H101" i="33" s="1"/>
  <c r="G100" i="33"/>
  <c r="H100" i="33" s="1"/>
  <c r="G100" i="33" a="1"/>
  <c r="G99" i="33"/>
  <c r="H99" i="33" s="1"/>
  <c r="G99" i="33" a="1"/>
  <c r="G98" i="33" a="1"/>
  <c r="G98" i="33" s="1"/>
  <c r="H98" i="33" s="1"/>
  <c r="G97" i="33" a="1"/>
  <c r="G97" i="33" s="1"/>
  <c r="H97" i="33" s="1"/>
  <c r="H96" i="33"/>
  <c r="G96" i="33"/>
  <c r="G96" i="33" a="1"/>
  <c r="G95" i="33" a="1"/>
  <c r="G95" i="33" s="1"/>
  <c r="H95" i="33" s="1"/>
  <c r="H89" i="33"/>
  <c r="H88" i="33"/>
  <c r="H87" i="33"/>
  <c r="H86" i="33"/>
  <c r="H90" i="33" s="1"/>
  <c r="G85" i="33" a="1"/>
  <c r="G85" i="33" s="1"/>
  <c r="H85" i="33" s="1"/>
  <c r="G84" i="33" a="1"/>
  <c r="G84" i="33" s="1"/>
  <c r="H84" i="33" s="1"/>
  <c r="H83" i="33"/>
  <c r="G83" i="33"/>
  <c r="G83" i="33" a="1"/>
  <c r="G82" i="33"/>
  <c r="H82" i="33" s="1"/>
  <c r="G82" i="33" a="1"/>
  <c r="G81" i="33"/>
  <c r="H81" i="33" s="1"/>
  <c r="G81" i="33" a="1"/>
  <c r="G80" i="33" a="1"/>
  <c r="G80" i="33" s="1"/>
  <c r="H80" i="33" s="1"/>
  <c r="G79" i="33" a="1"/>
  <c r="G79" i="33" s="1"/>
  <c r="H79" i="33" s="1"/>
  <c r="H78" i="33"/>
  <c r="G78" i="33"/>
  <c r="G78" i="33" a="1"/>
  <c r="G77" i="33" a="1"/>
  <c r="G77" i="33" s="1"/>
  <c r="H77" i="33" s="1"/>
  <c r="E72" i="33"/>
  <c r="D72" i="33"/>
  <c r="C72" i="33"/>
  <c r="F71" i="33"/>
  <c r="F70" i="33"/>
  <c r="F69" i="33"/>
  <c r="F68" i="33"/>
  <c r="F67" i="33"/>
  <c r="F66" i="33"/>
  <c r="F65" i="33"/>
  <c r="F64" i="33"/>
  <c r="F72" i="33" s="1"/>
  <c r="H56" i="33"/>
  <c r="H55" i="33"/>
  <c r="H54" i="33"/>
  <c r="H57" i="33" s="1"/>
  <c r="H53" i="33"/>
  <c r="G52" i="33"/>
  <c r="H52" i="33" s="1"/>
  <c r="G52" i="33" a="1"/>
  <c r="G51" i="33" a="1"/>
  <c r="G51" i="33" s="1"/>
  <c r="H51" i="33" s="1"/>
  <c r="G50" i="33" a="1"/>
  <c r="G50" i="33" s="1"/>
  <c r="H50" i="33" s="1"/>
  <c r="G49" i="33" a="1"/>
  <c r="G49" i="33" s="1"/>
  <c r="H49" i="33" s="1"/>
  <c r="G48" i="33" a="1"/>
  <c r="G48" i="33" s="1"/>
  <c r="H48" i="33" s="1"/>
  <c r="G47" i="33" a="1"/>
  <c r="G47" i="33" s="1"/>
  <c r="H47" i="33" s="1"/>
  <c r="G46" i="33"/>
  <c r="H46" i="33" s="1"/>
  <c r="G46" i="33" a="1"/>
  <c r="G45" i="33"/>
  <c r="H45" i="33" s="1"/>
  <c r="G45" i="33" a="1"/>
  <c r="G44" i="33"/>
  <c r="H44" i="33" s="1"/>
  <c r="G44" i="33" a="1"/>
  <c r="G43" i="33" a="1"/>
  <c r="G43" i="33" s="1"/>
  <c r="H43" i="33" s="1"/>
  <c r="G42" i="33" a="1"/>
  <c r="G42" i="33" s="1"/>
  <c r="H42" i="33" s="1"/>
  <c r="G41" i="33" a="1"/>
  <c r="G41" i="33" s="1"/>
  <c r="H41" i="33" s="1"/>
  <c r="H35" i="33"/>
  <c r="H132" i="33" s="1"/>
  <c r="G13" i="33" s="1"/>
  <c r="H34" i="33"/>
  <c r="H131" i="33" s="1"/>
  <c r="G12" i="33" s="1"/>
  <c r="H33" i="33"/>
  <c r="H130" i="33" s="1"/>
  <c r="G11" i="33" s="1"/>
  <c r="H32" i="33"/>
  <c r="H36" i="33" s="1"/>
  <c r="H133" i="33" s="1"/>
  <c r="G14" i="33" s="1"/>
  <c r="H27" i="20" s="1"/>
  <c r="G31" i="33" a="1"/>
  <c r="G31" i="33" s="1"/>
  <c r="H31" i="33" s="1"/>
  <c r="G30" i="33" a="1"/>
  <c r="G30" i="33" s="1"/>
  <c r="H30" i="33" s="1"/>
  <c r="G29" i="33" a="1"/>
  <c r="G29" i="33" s="1"/>
  <c r="H29" i="33" s="1"/>
  <c r="G28" i="33"/>
  <c r="H28" i="33" s="1"/>
  <c r="G28" i="33" a="1"/>
  <c r="G27" i="33"/>
  <c r="H27" i="33" s="1"/>
  <c r="G27" i="33" a="1"/>
  <c r="C5" i="33"/>
  <c r="A2" i="33"/>
  <c r="H125" i="32"/>
  <c r="H124" i="32"/>
  <c r="H126" i="32" s="1"/>
  <c r="H123" i="32"/>
  <c r="H122" i="32"/>
  <c r="G121" i="32" a="1"/>
  <c r="G121" i="32" s="1"/>
  <c r="H121" i="32" s="1"/>
  <c r="G120" i="32" a="1"/>
  <c r="G120" i="32" s="1"/>
  <c r="H120" i="32" s="1"/>
  <c r="G119" i="32" a="1"/>
  <c r="G119" i="32" s="1"/>
  <c r="H119" i="32" s="1"/>
  <c r="G118" i="32" a="1"/>
  <c r="G118" i="32" s="1"/>
  <c r="H118" i="32" s="1"/>
  <c r="G117" i="32"/>
  <c r="H117" i="32" s="1"/>
  <c r="G117" i="32" a="1"/>
  <c r="H111" i="32"/>
  <c r="H110" i="32"/>
  <c r="H109" i="32"/>
  <c r="H108" i="32"/>
  <c r="H112" i="32" s="1"/>
  <c r="G107" i="32"/>
  <c r="H107" i="32" s="1"/>
  <c r="G107" i="32" a="1"/>
  <c r="G106" i="32" a="1"/>
  <c r="G106" i="32" s="1"/>
  <c r="H106" i="32" s="1"/>
  <c r="G105" i="32"/>
  <c r="H105" i="32" s="1"/>
  <c r="G105" i="32" a="1"/>
  <c r="H104" i="32"/>
  <c r="G104" i="32"/>
  <c r="G104" i="32" a="1"/>
  <c r="G103" i="32"/>
  <c r="H103" i="32" s="1"/>
  <c r="G103" i="32" a="1"/>
  <c r="G102" i="32" a="1"/>
  <c r="G102" i="32" s="1"/>
  <c r="H102" i="32" s="1"/>
  <c r="G101" i="32" a="1"/>
  <c r="G101" i="32" s="1"/>
  <c r="H101" i="32" s="1"/>
  <c r="G100" i="32" a="1"/>
  <c r="G100" i="32" s="1"/>
  <c r="H100" i="32" s="1"/>
  <c r="G99" i="32"/>
  <c r="H99" i="32" s="1"/>
  <c r="G99" i="32" a="1"/>
  <c r="G98" i="32" a="1"/>
  <c r="G98" i="32" s="1"/>
  <c r="H98" i="32" s="1"/>
  <c r="G97" i="32"/>
  <c r="H97" i="32" s="1"/>
  <c r="G97" i="32" a="1"/>
  <c r="H96" i="32"/>
  <c r="G96" i="32"/>
  <c r="G96" i="32" a="1"/>
  <c r="G95" i="32"/>
  <c r="H95" i="32" s="1"/>
  <c r="G95" i="32" a="1"/>
  <c r="H89" i="32"/>
  <c r="H88" i="32"/>
  <c r="H90" i="32" s="1"/>
  <c r="H87" i="32"/>
  <c r="H86" i="32"/>
  <c r="G85" i="32"/>
  <c r="H85" i="32" s="1"/>
  <c r="G85" i="32" a="1"/>
  <c r="G84" i="32" a="1"/>
  <c r="G84" i="32" s="1"/>
  <c r="H84" i="32" s="1"/>
  <c r="G83" i="32" a="1"/>
  <c r="G83" i="32" s="1"/>
  <c r="H83" i="32" s="1"/>
  <c r="G82" i="32" a="1"/>
  <c r="G82" i="32" s="1"/>
  <c r="H82" i="32" s="1"/>
  <c r="G81" i="32"/>
  <c r="H81" i="32" s="1"/>
  <c r="G81" i="32" a="1"/>
  <c r="G80" i="32" a="1"/>
  <c r="G80" i="32" s="1"/>
  <c r="H80" i="32" s="1"/>
  <c r="G79" i="32"/>
  <c r="H79" i="32" s="1"/>
  <c r="G79" i="32" a="1"/>
  <c r="H78" i="32"/>
  <c r="G78" i="32"/>
  <c r="G78" i="32" a="1"/>
  <c r="G77" i="32"/>
  <c r="H77" i="32" s="1"/>
  <c r="G77" i="32" a="1"/>
  <c r="E72" i="32"/>
  <c r="D72" i="32"/>
  <c r="C72" i="32"/>
  <c r="F71" i="32"/>
  <c r="F70" i="32"/>
  <c r="F69" i="32"/>
  <c r="F68" i="32"/>
  <c r="F67" i="32"/>
  <c r="F66" i="32"/>
  <c r="F65" i="32"/>
  <c r="F72" i="32" s="1"/>
  <c r="F64" i="32"/>
  <c r="H56" i="32"/>
  <c r="H55" i="32"/>
  <c r="H54" i="32"/>
  <c r="H53" i="32"/>
  <c r="H57" i="32" s="1"/>
  <c r="G52" i="32"/>
  <c r="H52" i="32" s="1"/>
  <c r="G52" i="32" a="1"/>
  <c r="G51" i="32" a="1"/>
  <c r="G51" i="32" s="1"/>
  <c r="H51" i="32" s="1"/>
  <c r="G50" i="32"/>
  <c r="H50" i="32" s="1"/>
  <c r="G50" i="32" a="1"/>
  <c r="H49" i="32"/>
  <c r="G49" i="32"/>
  <c r="G49" i="32" a="1"/>
  <c r="G48" i="32" a="1"/>
  <c r="G48" i="32" s="1"/>
  <c r="H48" i="32" s="1"/>
  <c r="G47" i="32" a="1"/>
  <c r="G47" i="32" s="1"/>
  <c r="H47" i="32" s="1"/>
  <c r="G46" i="32" a="1"/>
  <c r="G46" i="32" s="1"/>
  <c r="H46" i="32" s="1"/>
  <c r="G45" i="32" a="1"/>
  <c r="G45" i="32" s="1"/>
  <c r="H45" i="32" s="1"/>
  <c r="G44" i="32"/>
  <c r="H44" i="32" s="1"/>
  <c r="G44" i="32" a="1"/>
  <c r="G43" i="32" a="1"/>
  <c r="G43" i="32" s="1"/>
  <c r="H43" i="32" s="1"/>
  <c r="G42" i="32" a="1"/>
  <c r="G42" i="32" s="1"/>
  <c r="H42" i="32" s="1"/>
  <c r="H41" i="32"/>
  <c r="G41" i="32"/>
  <c r="G41" i="32" a="1"/>
  <c r="H35" i="32"/>
  <c r="H132" i="32" s="1"/>
  <c r="G13" i="32" s="1"/>
  <c r="H34" i="32"/>
  <c r="H131" i="32" s="1"/>
  <c r="G12" i="32" s="1"/>
  <c r="H33" i="32"/>
  <c r="H130" i="32" s="1"/>
  <c r="G11" i="32" s="1"/>
  <c r="H32" i="32"/>
  <c r="H36" i="32" s="1"/>
  <c r="G31" i="32" a="1"/>
  <c r="G31" i="32" s="1"/>
  <c r="H31" i="32" s="1"/>
  <c r="G30" i="32" a="1"/>
  <c r="G30" i="32" s="1"/>
  <c r="H30" i="32" s="1"/>
  <c r="G29" i="32" a="1"/>
  <c r="G29" i="32" s="1"/>
  <c r="H29" i="32" s="1"/>
  <c r="G28" i="32" a="1"/>
  <c r="G28" i="32" s="1"/>
  <c r="H28" i="32" s="1"/>
  <c r="G27" i="32" a="1"/>
  <c r="G27" i="32" s="1"/>
  <c r="H27" i="32" s="1"/>
  <c r="C5" i="32"/>
  <c r="A2" i="32"/>
  <c r="H125" i="31"/>
  <c r="H124" i="31"/>
  <c r="H123" i="31"/>
  <c r="H122" i="31"/>
  <c r="H126" i="31" s="1"/>
  <c r="G121" i="31"/>
  <c r="H121" i="31" s="1"/>
  <c r="G121" i="31" a="1"/>
  <c r="G120" i="31" a="1"/>
  <c r="G120" i="31" s="1"/>
  <c r="H120" i="31" s="1"/>
  <c r="G119" i="31"/>
  <c r="H119" i="31" s="1"/>
  <c r="G119" i="31" a="1"/>
  <c r="H118" i="31"/>
  <c r="G118" i="31"/>
  <c r="G118" i="31" a="1"/>
  <c r="G117" i="31"/>
  <c r="H117" i="31" s="1"/>
  <c r="G117" i="31" a="1"/>
  <c r="H111" i="31"/>
  <c r="H110" i="31"/>
  <c r="H112" i="31" s="1"/>
  <c r="H109" i="31"/>
  <c r="H108" i="31"/>
  <c r="G107" i="31"/>
  <c r="H107" i="31" s="1"/>
  <c r="G107" i="31" a="1"/>
  <c r="G106" i="31" a="1"/>
  <c r="G106" i="31" s="1"/>
  <c r="H106" i="31" s="1"/>
  <c r="G105" i="31" a="1"/>
  <c r="G105" i="31" s="1"/>
  <c r="H105" i="31" s="1"/>
  <c r="G104" i="31" a="1"/>
  <c r="G104" i="31" s="1"/>
  <c r="H104" i="31" s="1"/>
  <c r="G103" i="31"/>
  <c r="H103" i="31" s="1"/>
  <c r="G103" i="31" a="1"/>
  <c r="G102" i="31" a="1"/>
  <c r="G102" i="31" s="1"/>
  <c r="H102" i="31" s="1"/>
  <c r="G101" i="31"/>
  <c r="H101" i="31" s="1"/>
  <c r="G101" i="31" a="1"/>
  <c r="H100" i="31"/>
  <c r="G100" i="31"/>
  <c r="G100" i="31" a="1"/>
  <c r="G99" i="31"/>
  <c r="H99" i="31" s="1"/>
  <c r="G99" i="31" a="1"/>
  <c r="G98" i="31" a="1"/>
  <c r="G98" i="31" s="1"/>
  <c r="H98" i="31" s="1"/>
  <c r="G97" i="31" a="1"/>
  <c r="G97" i="31" s="1"/>
  <c r="H97" i="31" s="1"/>
  <c r="G96" i="31" a="1"/>
  <c r="G96" i="31" s="1"/>
  <c r="H96" i="31" s="1"/>
  <c r="G95" i="31"/>
  <c r="H95" i="31" s="1"/>
  <c r="G95" i="31" a="1"/>
  <c r="H89" i="31"/>
  <c r="H88" i="31"/>
  <c r="H87" i="31"/>
  <c r="H86" i="31"/>
  <c r="H90" i="31" s="1"/>
  <c r="G85" i="31"/>
  <c r="H85" i="31" s="1"/>
  <c r="G85" i="31" a="1"/>
  <c r="G84" i="31" a="1"/>
  <c r="G84" i="31" s="1"/>
  <c r="H84" i="31" s="1"/>
  <c r="G83" i="31"/>
  <c r="H83" i="31" s="1"/>
  <c r="G83" i="31" a="1"/>
  <c r="H82" i="31"/>
  <c r="G82" i="31"/>
  <c r="G82" i="31" a="1"/>
  <c r="G81" i="31"/>
  <c r="H81" i="31" s="1"/>
  <c r="G81" i="31" a="1"/>
  <c r="G80" i="31" a="1"/>
  <c r="G80" i="31" s="1"/>
  <c r="H80" i="31" s="1"/>
  <c r="G79" i="31" a="1"/>
  <c r="G79" i="31" s="1"/>
  <c r="H79" i="31" s="1"/>
  <c r="G78" i="31" a="1"/>
  <c r="G78" i="31" s="1"/>
  <c r="H78" i="31" s="1"/>
  <c r="G77" i="31"/>
  <c r="H77" i="31" s="1"/>
  <c r="G77" i="31" a="1"/>
  <c r="E72" i="31"/>
  <c r="D72" i="31"/>
  <c r="C72" i="31"/>
  <c r="F71" i="31"/>
  <c r="F70" i="31"/>
  <c r="F69" i="31"/>
  <c r="F68" i="31"/>
  <c r="F67" i="31"/>
  <c r="F66" i="31"/>
  <c r="F65" i="31"/>
  <c r="F64" i="31"/>
  <c r="F72" i="31" s="1"/>
  <c r="H56" i="31"/>
  <c r="H55" i="31"/>
  <c r="H54" i="31"/>
  <c r="H57" i="31" s="1"/>
  <c r="H53" i="31"/>
  <c r="G52" i="31"/>
  <c r="H52" i="31" s="1"/>
  <c r="G52" i="31" a="1"/>
  <c r="G51" i="31" a="1"/>
  <c r="G51" i="31" s="1"/>
  <c r="H51" i="31" s="1"/>
  <c r="G50" i="31" a="1"/>
  <c r="G50" i="31" s="1"/>
  <c r="H50" i="31" s="1"/>
  <c r="G49" i="31" a="1"/>
  <c r="G49" i="31" s="1"/>
  <c r="H49" i="31" s="1"/>
  <c r="G48" i="31"/>
  <c r="H48" i="31" s="1"/>
  <c r="G48" i="31" a="1"/>
  <c r="G47" i="31" a="1"/>
  <c r="G47" i="31" s="1"/>
  <c r="H47" i="31" s="1"/>
  <c r="G46" i="31"/>
  <c r="H46" i="31" s="1"/>
  <c r="G46" i="31" a="1"/>
  <c r="H45" i="31"/>
  <c r="G45" i="31"/>
  <c r="G45" i="31" a="1"/>
  <c r="G44" i="31"/>
  <c r="H44" i="31" s="1"/>
  <c r="G44" i="31" a="1"/>
  <c r="G43" i="31" a="1"/>
  <c r="G43" i="31" s="1"/>
  <c r="H43" i="31" s="1"/>
  <c r="G42" i="31" a="1"/>
  <c r="G42" i="31" s="1"/>
  <c r="H42" i="31" s="1"/>
  <c r="G41" i="31" a="1"/>
  <c r="G41" i="31" s="1"/>
  <c r="H41" i="31" s="1"/>
  <c r="H35" i="31"/>
  <c r="H132" i="31" s="1"/>
  <c r="G13" i="31" s="1"/>
  <c r="H34" i="31"/>
  <c r="H131" i="31" s="1"/>
  <c r="G12" i="31" s="1"/>
  <c r="H33" i="31"/>
  <c r="H32" i="31"/>
  <c r="H36" i="31" s="1"/>
  <c r="G31" i="31" a="1"/>
  <c r="G31" i="31" s="1"/>
  <c r="H31" i="31" s="1"/>
  <c r="G30" i="31"/>
  <c r="H30" i="31" s="1"/>
  <c r="G30" i="31" a="1"/>
  <c r="G29" i="31" a="1"/>
  <c r="G29" i="31" s="1"/>
  <c r="H29" i="31" s="1"/>
  <c r="G28" i="31"/>
  <c r="H28" i="31" s="1"/>
  <c r="G28" i="31" a="1"/>
  <c r="H27" i="31"/>
  <c r="G27" i="31"/>
  <c r="G27" i="31" a="1"/>
  <c r="C5" i="31"/>
  <c r="A2" i="31"/>
  <c r="A52" i="41"/>
  <c r="A52" i="20"/>
  <c r="H24" i="20"/>
  <c r="H125" i="16"/>
  <c r="H124" i="16"/>
  <c r="H111" i="16"/>
  <c r="H110" i="16"/>
  <c r="H89" i="16"/>
  <c r="H88" i="16"/>
  <c r="H56" i="16"/>
  <c r="H55" i="16"/>
  <c r="H53" i="16"/>
  <c r="H54" i="16"/>
  <c r="H35" i="16"/>
  <c r="H34" i="16"/>
  <c r="H124" i="40"/>
  <c r="H88" i="40"/>
  <c r="H55" i="40"/>
  <c r="H125" i="40"/>
  <c r="H111" i="40"/>
  <c r="H89" i="40"/>
  <c r="H56" i="40"/>
  <c r="H35" i="40"/>
  <c r="G80" i="40" a="1"/>
  <c r="G80" i="40" s="1"/>
  <c r="H80" i="40" s="1"/>
  <c r="G79" i="40" a="1"/>
  <c r="G79" i="40" s="1"/>
  <c r="H79" i="40" s="1"/>
  <c r="G78" i="40" a="1"/>
  <c r="G78" i="40" s="1"/>
  <c r="H78" i="40" s="1"/>
  <c r="G44" i="40" a="1"/>
  <c r="G44" i="40" s="1"/>
  <c r="H44" i="40" s="1"/>
  <c r="C5" i="40"/>
  <c r="A2" i="40"/>
  <c r="H123" i="16"/>
  <c r="H122" i="16"/>
  <c r="G121" i="16" a="1"/>
  <c r="G121" i="16" s="1"/>
  <c r="H121" i="16" s="1"/>
  <c r="G120" i="16" a="1"/>
  <c r="G120" i="16" s="1"/>
  <c r="H120" i="16" s="1"/>
  <c r="G119" i="16" a="1"/>
  <c r="G119" i="16" s="1"/>
  <c r="H119" i="16" s="1"/>
  <c r="G118" i="16" a="1"/>
  <c r="G118" i="16" s="1"/>
  <c r="H118" i="16" s="1"/>
  <c r="G117" i="16" a="1"/>
  <c r="G117" i="16" s="1"/>
  <c r="H117" i="16" s="1"/>
  <c r="H109" i="16"/>
  <c r="H108" i="16"/>
  <c r="G107" i="16" a="1"/>
  <c r="G107" i="16" s="1"/>
  <c r="H107" i="16" s="1"/>
  <c r="G106" i="16" a="1"/>
  <c r="G106" i="16" s="1"/>
  <c r="H106" i="16" s="1"/>
  <c r="G105" i="16" a="1"/>
  <c r="G105" i="16" s="1"/>
  <c r="H105" i="16" s="1"/>
  <c r="G104" i="16" a="1"/>
  <c r="G104" i="16" s="1"/>
  <c r="H104" i="16" s="1"/>
  <c r="G103" i="16" a="1"/>
  <c r="G103" i="16" s="1"/>
  <c r="H103" i="16" s="1"/>
  <c r="G102" i="16" a="1"/>
  <c r="G102" i="16" s="1"/>
  <c r="H102" i="16" s="1"/>
  <c r="G101" i="16" a="1"/>
  <c r="G101" i="16" s="1"/>
  <c r="H101" i="16" s="1"/>
  <c r="G100" i="16" a="1"/>
  <c r="G100" i="16" s="1"/>
  <c r="H100" i="16" s="1"/>
  <c r="G99" i="16" a="1"/>
  <c r="G99" i="16" s="1"/>
  <c r="H99" i="16" s="1"/>
  <c r="G98" i="16" a="1"/>
  <c r="G98" i="16" s="1"/>
  <c r="H98" i="16" s="1"/>
  <c r="G97" i="16" a="1"/>
  <c r="G97" i="16" s="1"/>
  <c r="H97" i="16" s="1"/>
  <c r="G96" i="16" a="1"/>
  <c r="G96" i="16" s="1"/>
  <c r="H96" i="16" s="1"/>
  <c r="G95" i="16" a="1"/>
  <c r="G95" i="16" s="1"/>
  <c r="H95" i="16" s="1"/>
  <c r="H87" i="16"/>
  <c r="H86" i="16"/>
  <c r="G85" i="16" a="1"/>
  <c r="G85" i="16" s="1"/>
  <c r="H85" i="16" s="1"/>
  <c r="G84" i="16" a="1"/>
  <c r="G84" i="16" s="1"/>
  <c r="H84" i="16" s="1"/>
  <c r="G83" i="16" a="1"/>
  <c r="G83" i="16" s="1"/>
  <c r="H83" i="16" s="1"/>
  <c r="G82" i="16" a="1"/>
  <c r="G82" i="16" s="1"/>
  <c r="H82" i="16" s="1"/>
  <c r="G81" i="16" a="1"/>
  <c r="G81" i="16" s="1"/>
  <c r="H81" i="16" s="1"/>
  <c r="G80" i="16" a="1"/>
  <c r="G80" i="16" s="1"/>
  <c r="H80" i="16" s="1"/>
  <c r="G79" i="16" a="1"/>
  <c r="G79" i="16" s="1"/>
  <c r="H79" i="16" s="1"/>
  <c r="G78" i="16" a="1"/>
  <c r="G78" i="16" s="1"/>
  <c r="H78" i="16" s="1"/>
  <c r="G77" i="16" a="1"/>
  <c r="G77" i="16" s="1"/>
  <c r="H77" i="16" s="1"/>
  <c r="E72" i="16"/>
  <c r="D72" i="16"/>
  <c r="C72" i="16"/>
  <c r="F71" i="16"/>
  <c r="F70" i="16"/>
  <c r="F69" i="16"/>
  <c r="F68" i="16"/>
  <c r="F67" i="16"/>
  <c r="F66" i="16"/>
  <c r="F65" i="16"/>
  <c r="F64" i="16"/>
  <c r="G52" i="16" a="1"/>
  <c r="G52" i="16" s="1"/>
  <c r="H52" i="16" s="1"/>
  <c r="G51" i="16" a="1"/>
  <c r="G51" i="16" s="1"/>
  <c r="H51" i="16" s="1"/>
  <c r="G50" i="16" a="1"/>
  <c r="G50" i="16" s="1"/>
  <c r="H50" i="16" s="1"/>
  <c r="G49" i="16" a="1"/>
  <c r="G49" i="16" s="1"/>
  <c r="H49" i="16" s="1"/>
  <c r="G48" i="16" a="1"/>
  <c r="G48" i="16" s="1"/>
  <c r="H48" i="16" s="1"/>
  <c r="G47" i="16" a="1"/>
  <c r="G47" i="16" s="1"/>
  <c r="H47" i="16" s="1"/>
  <c r="G46" i="16" a="1"/>
  <c r="G46" i="16" s="1"/>
  <c r="H46" i="16" s="1"/>
  <c r="G45" i="16" a="1"/>
  <c r="G45" i="16" s="1"/>
  <c r="H45" i="16" s="1"/>
  <c r="G44" i="16" a="1"/>
  <c r="G44" i="16" s="1"/>
  <c r="H44" i="16" s="1"/>
  <c r="G43" i="16" a="1"/>
  <c r="G43" i="16" s="1"/>
  <c r="H43" i="16" s="1"/>
  <c r="G42" i="16" a="1"/>
  <c r="G42" i="16" s="1"/>
  <c r="H42" i="16" s="1"/>
  <c r="G41" i="16" a="1"/>
  <c r="G41" i="16" s="1"/>
  <c r="H41" i="16" s="1"/>
  <c r="H33" i="16"/>
  <c r="H32" i="16"/>
  <c r="G31" i="16" a="1"/>
  <c r="G31" i="16" s="1"/>
  <c r="H31" i="16" s="1"/>
  <c r="G30" i="16" a="1"/>
  <c r="G30" i="16" s="1"/>
  <c r="H30" i="16" s="1"/>
  <c r="G29" i="16" a="1"/>
  <c r="G29" i="16" s="1"/>
  <c r="H29" i="16" s="1"/>
  <c r="G28" i="16" a="1"/>
  <c r="G28" i="16" s="1"/>
  <c r="H28" i="16" s="1"/>
  <c r="G27" i="16" a="1"/>
  <c r="G27" i="16" s="1"/>
  <c r="H27" i="16" s="1"/>
  <c r="C5" i="16"/>
  <c r="A2" i="16"/>
  <c r="B24" i="41"/>
  <c r="A24" i="41"/>
  <c r="A24" i="20"/>
  <c r="H123" i="40"/>
  <c r="G121" i="40" a="1"/>
  <c r="G121" i="40" s="1"/>
  <c r="H121" i="40" s="1"/>
  <c r="G120" i="40" a="1"/>
  <c r="G120" i="40" s="1"/>
  <c r="H120" i="40" s="1"/>
  <c r="G119" i="40" a="1"/>
  <c r="G119" i="40" s="1"/>
  <c r="H119" i="40" s="1"/>
  <c r="G118" i="40" a="1"/>
  <c r="G118" i="40" s="1"/>
  <c r="H118" i="40" s="1"/>
  <c r="G117" i="40" a="1"/>
  <c r="G117" i="40" s="1"/>
  <c r="H117" i="40" s="1"/>
  <c r="G107" i="40" a="1"/>
  <c r="G107" i="40" s="1"/>
  <c r="H107" i="40" s="1"/>
  <c r="G106" i="40" a="1"/>
  <c r="G106" i="40" s="1"/>
  <c r="H106" i="40" s="1"/>
  <c r="G105" i="40" a="1"/>
  <c r="G105" i="40" s="1"/>
  <c r="H105" i="40" s="1"/>
  <c r="G104" i="40" a="1"/>
  <c r="G104" i="40" s="1"/>
  <c r="H104" i="40" s="1"/>
  <c r="G103" i="40" a="1"/>
  <c r="G103" i="40" s="1"/>
  <c r="H103" i="40" s="1"/>
  <c r="G102" i="40" a="1"/>
  <c r="G102" i="40" s="1"/>
  <c r="H102" i="40" s="1"/>
  <c r="G101" i="40" a="1"/>
  <c r="G101" i="40" s="1"/>
  <c r="H101" i="40" s="1"/>
  <c r="G100" i="40" a="1"/>
  <c r="G100" i="40" s="1"/>
  <c r="H100" i="40" s="1"/>
  <c r="G99" i="40" a="1"/>
  <c r="G99" i="40" s="1"/>
  <c r="H99" i="40" s="1"/>
  <c r="G98" i="40" a="1"/>
  <c r="G98" i="40" s="1"/>
  <c r="H98" i="40" s="1"/>
  <c r="G97" i="40" a="1"/>
  <c r="G97" i="40" s="1"/>
  <c r="H97" i="40" s="1"/>
  <c r="G96" i="40" a="1"/>
  <c r="G96" i="40" s="1"/>
  <c r="H109" i="40" s="1"/>
  <c r="G95" i="40" a="1"/>
  <c r="G95" i="40" s="1"/>
  <c r="G85" i="40" a="1"/>
  <c r="G85" i="40" s="1"/>
  <c r="H85" i="40" s="1"/>
  <c r="G84" i="40" a="1"/>
  <c r="G84" i="40" s="1"/>
  <c r="H84" i="40" s="1"/>
  <c r="G83" i="40" a="1"/>
  <c r="G83" i="40" s="1"/>
  <c r="H83" i="40" s="1"/>
  <c r="G82" i="40" a="1"/>
  <c r="G82" i="40" s="1"/>
  <c r="H82" i="40" s="1"/>
  <c r="G81" i="40" a="1"/>
  <c r="G81" i="40" s="1"/>
  <c r="H81" i="40" s="1"/>
  <c r="G77" i="40" a="1"/>
  <c r="G77" i="40" s="1"/>
  <c r="E72" i="40"/>
  <c r="D72" i="40"/>
  <c r="C72" i="40"/>
  <c r="F71" i="40"/>
  <c r="F70" i="40"/>
  <c r="F69" i="40"/>
  <c r="F68" i="40"/>
  <c r="F67" i="40"/>
  <c r="F66" i="40"/>
  <c r="F65" i="40"/>
  <c r="F64" i="40"/>
  <c r="G52" i="40" a="1"/>
  <c r="G52" i="40" s="1"/>
  <c r="H52" i="40" s="1"/>
  <c r="G51" i="40" a="1"/>
  <c r="G51" i="40" s="1"/>
  <c r="G50" i="40" a="1"/>
  <c r="G50" i="40" s="1"/>
  <c r="H50" i="40" s="1"/>
  <c r="G49" i="40" a="1"/>
  <c r="G49" i="40" s="1"/>
  <c r="H49" i="40" s="1"/>
  <c r="G48" i="40" a="1"/>
  <c r="G48" i="40" s="1"/>
  <c r="H48" i="40" s="1"/>
  <c r="G47" i="40" a="1"/>
  <c r="G47" i="40" s="1"/>
  <c r="H47" i="40" s="1"/>
  <c r="G46" i="40" a="1"/>
  <c r="G46" i="40" s="1"/>
  <c r="H46" i="40" s="1"/>
  <c r="G45" i="40" a="1"/>
  <c r="G45" i="40" s="1"/>
  <c r="H45" i="40" s="1"/>
  <c r="G43" i="40" a="1"/>
  <c r="G43" i="40" s="1"/>
  <c r="H43" i="40" s="1"/>
  <c r="G42" i="40" a="1"/>
  <c r="G42" i="40" s="1"/>
  <c r="G41" i="40" a="1"/>
  <c r="G41" i="40" s="1"/>
  <c r="H54" i="40" s="1"/>
  <c r="H33" i="40"/>
  <c r="H32" i="40"/>
  <c r="G31" i="40" a="1"/>
  <c r="G31" i="40" s="1"/>
  <c r="H31" i="40" s="1"/>
  <c r="G30" i="40" a="1"/>
  <c r="G30" i="40" s="1"/>
  <c r="H30" i="40" s="1"/>
  <c r="G29" i="40" a="1"/>
  <c r="G29" i="40" s="1"/>
  <c r="H29" i="40" s="1"/>
  <c r="G28" i="40" a="1"/>
  <c r="G28" i="40" s="1"/>
  <c r="H28" i="40" s="1"/>
  <c r="G27" i="40" a="1"/>
  <c r="G27" i="40" s="1"/>
  <c r="H52" i="20"/>
  <c r="C46" i="20"/>
  <c r="B33" i="20"/>
  <c r="A33" i="20"/>
  <c r="B32" i="20"/>
  <c r="A32" i="20"/>
  <c r="B31" i="20"/>
  <c r="A31" i="20"/>
  <c r="B30" i="20"/>
  <c r="A30" i="20"/>
  <c r="B29" i="20"/>
  <c r="A29" i="20"/>
  <c r="B28" i="20"/>
  <c r="A28" i="20"/>
  <c r="B27" i="20"/>
  <c r="A27" i="20"/>
  <c r="B26" i="20"/>
  <c r="A26" i="20"/>
  <c r="B25" i="20"/>
  <c r="A25" i="20"/>
  <c r="B24" i="20"/>
  <c r="C46" i="41"/>
  <c r="H52" i="41"/>
  <c r="B33" i="41"/>
  <c r="A33" i="41"/>
  <c r="B32" i="41"/>
  <c r="A32" i="41"/>
  <c r="B31" i="41"/>
  <c r="A31" i="41"/>
  <c r="B30" i="41"/>
  <c r="A30" i="41"/>
  <c r="B29" i="41"/>
  <c r="A29" i="41"/>
  <c r="B28" i="41"/>
  <c r="A28" i="41"/>
  <c r="B27" i="41"/>
  <c r="A27" i="41"/>
  <c r="B26" i="41"/>
  <c r="A26" i="41"/>
  <c r="H110" i="40" l="1"/>
  <c r="H86" i="40"/>
  <c r="H133" i="39"/>
  <c r="G14" i="39" s="1"/>
  <c r="H33" i="20" s="1"/>
  <c r="H129" i="39"/>
  <c r="G10" i="39" s="1"/>
  <c r="H133" i="38"/>
  <c r="G14" i="38" s="1"/>
  <c r="H32" i="20" s="1"/>
  <c r="H129" i="38"/>
  <c r="G10" i="38" s="1"/>
  <c r="H129" i="37"/>
  <c r="G10" i="37" s="1"/>
  <c r="H133" i="36"/>
  <c r="G14" i="36" s="1"/>
  <c r="H30" i="20" s="1"/>
  <c r="H129" i="36"/>
  <c r="G10" i="36" s="1"/>
  <c r="H129" i="35"/>
  <c r="G10" i="35" s="1"/>
  <c r="H129" i="34"/>
  <c r="G10" i="34" s="1"/>
  <c r="H112" i="34"/>
  <c r="H133" i="34" s="1"/>
  <c r="G14" i="34" s="1"/>
  <c r="H28" i="20" s="1"/>
  <c r="H129" i="33"/>
  <c r="G10" i="33" s="1"/>
  <c r="H133" i="32"/>
  <c r="G14" i="32" s="1"/>
  <c r="H26" i="20" s="1"/>
  <c r="H129" i="32"/>
  <c r="G10" i="32" s="1"/>
  <c r="H133" i="31"/>
  <c r="G14" i="31" s="1"/>
  <c r="H129" i="31"/>
  <c r="G10" i="31" s="1"/>
  <c r="H130" i="31"/>
  <c r="G11" i="31" s="1"/>
  <c r="H25" i="20"/>
  <c r="H131" i="16"/>
  <c r="G12" i="16" s="1"/>
  <c r="H132" i="16"/>
  <c r="G13" i="16" s="1"/>
  <c r="H112" i="16"/>
  <c r="H90" i="16"/>
  <c r="H130" i="16"/>
  <c r="G11" i="16" s="1"/>
  <c r="H57" i="16"/>
  <c r="H126" i="16"/>
  <c r="H129" i="16"/>
  <c r="G10" i="16" s="1"/>
  <c r="F72" i="16"/>
  <c r="H132" i="40"/>
  <c r="G13" i="40" s="1"/>
  <c r="H34" i="40"/>
  <c r="H36" i="16"/>
  <c r="E24" i="20"/>
  <c r="G24" i="20"/>
  <c r="H41" i="40"/>
  <c r="F72" i="40"/>
  <c r="H42" i="40"/>
  <c r="H95" i="40"/>
  <c r="H53" i="40"/>
  <c r="H57" i="40" s="1"/>
  <c r="H51" i="40"/>
  <c r="H27" i="40"/>
  <c r="H87" i="40"/>
  <c r="H77" i="40"/>
  <c r="H122" i="40"/>
  <c r="H126" i="40" s="1"/>
  <c r="G24" i="41" s="1"/>
  <c r="H96" i="40"/>
  <c r="H108" i="40"/>
  <c r="H131" i="40" l="1"/>
  <c r="G12" i="40" s="1"/>
  <c r="H90" i="40"/>
  <c r="E24" i="41" s="1"/>
  <c r="H133" i="16"/>
  <c r="G14" i="16" s="1"/>
  <c r="H130" i="40"/>
  <c r="G11" i="40" s="1"/>
  <c r="H112" i="40"/>
  <c r="F24" i="41" s="1"/>
  <c r="F24" i="20"/>
  <c r="D24" i="20"/>
  <c r="D24" i="41"/>
  <c r="G34" i="20"/>
  <c r="H36" i="40"/>
  <c r="H129" i="40"/>
  <c r="G10" i="40" s="1"/>
  <c r="H133" i="40" l="1"/>
  <c r="G14" i="40" s="1"/>
  <c r="H24" i="41" s="1"/>
  <c r="C24" i="41"/>
  <c r="F34" i="20"/>
  <c r="E34" i="20"/>
  <c r="C24" i="20"/>
  <c r="H29" i="41"/>
  <c r="H32" i="41"/>
  <c r="H30" i="41"/>
  <c r="H28" i="41"/>
  <c r="H27" i="41"/>
  <c r="D34" i="20" l="1"/>
  <c r="H34" i="20"/>
  <c r="H33" i="41"/>
  <c r="C34" i="20"/>
  <c r="H31" i="41"/>
  <c r="G34" i="41"/>
  <c r="E34" i="41"/>
  <c r="H26" i="41"/>
  <c r="C34" i="41"/>
  <c r="C47" i="20" l="1"/>
  <c r="D34" i="41"/>
  <c r="F34" i="41"/>
  <c r="H34" i="41" l="1"/>
  <c r="C47" i="4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<sst xmlns="http://schemas.openxmlformats.org/spreadsheetml/2006/main" count="1689" uniqueCount="239">
  <si>
    <t>Model Project Type</t>
  </si>
  <si>
    <t>Model Project Type Information</t>
  </si>
  <si>
    <t>Table 1: Model Project Type Details</t>
  </si>
  <si>
    <t>What is the name of the model project type you are working on?</t>
  </si>
  <si>
    <t xml:space="preserve">What is the HMIS name for this Model Project Type (if applicable)? </t>
  </si>
  <si>
    <t>Rapid Rehousing</t>
  </si>
  <si>
    <t>What is the model project type abbreviation in Stella M?</t>
  </si>
  <si>
    <t>Please describe this model project type.</t>
  </si>
  <si>
    <t>Housing navigation and rent assistance for 6-12 months.</t>
  </si>
  <si>
    <t>What are the essential elements of this model project type?</t>
  </si>
  <si>
    <t>Housing search assistance, assistance addressing housing barriers (e.g. obtaining ID's), Deposit/move-in assistance, Rent assistance based on household income</t>
  </si>
  <si>
    <t>What is the target population for this model project type?</t>
  </si>
  <si>
    <t>Summary of Comparable Costs across Project Type</t>
  </si>
  <si>
    <t>Table 2.a: Summary of Detailed Project Costs from Comparable Projects</t>
  </si>
  <si>
    <t>Project Type</t>
  </si>
  <si>
    <t>Project Name</t>
  </si>
  <si>
    <t>Annual Administrative Cost Per Unit</t>
  </si>
  <si>
    <t>Annual Operations Cost Per Unit</t>
  </si>
  <si>
    <t>Annual Services Cost Per Unit</t>
  </si>
  <si>
    <t>Annual Other Costs Per Unit</t>
  </si>
  <si>
    <t>Annual Cost Per Unit</t>
  </si>
  <si>
    <t>Average</t>
  </si>
  <si>
    <t>This table can be used when detailed project costs are not available from comparable projects, but total project costs are available. Enter the project costs for the comparable projects in this table to produce an average. The table also provides an overall average for projects on both tables.</t>
  </si>
  <si>
    <t>Table 2.b: Summary of Total Project Costs from Comparable Projects</t>
  </si>
  <si>
    <t>Project B</t>
  </si>
  <si>
    <t>Project C</t>
  </si>
  <si>
    <t>Overall Average for both tables</t>
  </si>
  <si>
    <t>Table 3: Cost Assumptions for Model Project Type</t>
  </si>
  <si>
    <t>Model Project Type Notes</t>
  </si>
  <si>
    <t>Average Annual Administrative Cost Per Unit</t>
  </si>
  <si>
    <t>Average Annual Operations Cost Per Unit</t>
  </si>
  <si>
    <t>Average Annual Services Cost Per Unit</t>
  </si>
  <si>
    <t>Average Annual Other Costs Per Unit</t>
  </si>
  <si>
    <t>Average Annual Cost Per Unit</t>
  </si>
  <si>
    <t>Note about Cost Assumptions</t>
  </si>
  <si>
    <t>Project Information</t>
  </si>
  <si>
    <t>Project Details</t>
  </si>
  <si>
    <t>Cost Per Unit Dashboard</t>
  </si>
  <si>
    <t>What is the name of your project?</t>
  </si>
  <si>
    <t>What is it's project type?</t>
  </si>
  <si>
    <t>If other, what is the project type?</t>
  </si>
  <si>
    <t>Project Notes</t>
  </si>
  <si>
    <t>Total</t>
  </si>
  <si>
    <t>Length of Assistance and Capacity</t>
  </si>
  <si>
    <t>Project costs can be different for enrolled households that are experiencing homelessness and enrolled households that are housed. This section asks this information to help make the calculation for annual cost per unit.</t>
  </si>
  <si>
    <t>What is your project capacity at a point-in time?</t>
  </si>
  <si>
    <t xml:space="preserve">While the household is enrolled in your project, what is the average length (in months) that a household is experiencing homelessness? </t>
  </si>
  <si>
    <t>While the household is in your project, what is the average length of time (in months) that a household is housed?</t>
  </si>
  <si>
    <t>Project Costs</t>
  </si>
  <si>
    <t>Administrative Costs</t>
  </si>
  <si>
    <t>Use the table below to determine administrative costs per unit for this project. The duration, cost, frequency, and unit fields must be filled in for the monthly and annual costs to be calculated.</t>
  </si>
  <si>
    <t>Item</t>
  </si>
  <si>
    <t>Notes</t>
  </si>
  <si>
    <t>Duration</t>
  </si>
  <si>
    <t>Cost</t>
  </si>
  <si>
    <t>Frequency</t>
  </si>
  <si>
    <t>Unit</t>
  </si>
  <si>
    <t>Monthly Cost Per Unit</t>
  </si>
  <si>
    <t>Homeless &amp; housed</t>
  </si>
  <si>
    <t>Per year</t>
  </si>
  <si>
    <t>Program-wide</t>
  </si>
  <si>
    <t>Operations Costs</t>
  </si>
  <si>
    <t>Use the table below to determine operations costs per unit for this project. The duration, cost, frequency, and unit fields must be filled in for the monthly and annual costs to be calculated.</t>
  </si>
  <si>
    <t>While housed only</t>
  </si>
  <si>
    <t>Per unit/space/household</t>
  </si>
  <si>
    <t>Per month</t>
  </si>
  <si>
    <t>Per day</t>
  </si>
  <si>
    <t>One-time</t>
  </si>
  <si>
    <t>While homeless only</t>
  </si>
  <si>
    <t>Rental Assistance or Leasing Costs</t>
  </si>
  <si>
    <t>Average Rental and Utility Assistance for Variable Unit Size</t>
  </si>
  <si>
    <t># of Units</t>
  </si>
  <si>
    <t>Average rent per unit (for reference)</t>
  </si>
  <si>
    <t>Average rental assistance per unit</t>
  </si>
  <si>
    <t>Average utility assistance per unit</t>
  </si>
  <si>
    <t>Average combined rental assistance and utility assistance per unit</t>
  </si>
  <si>
    <t>1 Bed</t>
  </si>
  <si>
    <t>2 Bed</t>
  </si>
  <si>
    <t>3 Bed</t>
  </si>
  <si>
    <t>4 Bed</t>
  </si>
  <si>
    <t>5 Bed</t>
  </si>
  <si>
    <t>6 Bed</t>
  </si>
  <si>
    <t>7 Bed</t>
  </si>
  <si>
    <t>8 Bed</t>
  </si>
  <si>
    <t>Average Annual Rental Assistance or Leasing Cost per Unit</t>
  </si>
  <si>
    <t>Rental Arrears</t>
  </si>
  <si>
    <t>Security Deposit</t>
  </si>
  <si>
    <t>Other</t>
  </si>
  <si>
    <t>Services Costs</t>
  </si>
  <si>
    <t>Use the table below to determine service costs per unit for this project. The duration, cost, frequency, and unit fields must be filled in for the monthly and annual costs to be calculated.</t>
  </si>
  <si>
    <t>Other Costs</t>
  </si>
  <si>
    <t>Use the table below to determine other costs per unit for this project. The duration, cost, frequency, and unit fields must be filled in for the monthly and annual costs to be calculated.</t>
  </si>
  <si>
    <t>Total Annual Costs Per Unit For Project</t>
  </si>
  <si>
    <t>Unit 2</t>
  </si>
  <si>
    <t>Inventory</t>
  </si>
  <si>
    <t>Program Type</t>
  </si>
  <si>
    <t xml:space="preserve">Duration </t>
  </si>
  <si>
    <t>Days</t>
  </si>
  <si>
    <t>Emergency Shelter</t>
  </si>
  <si>
    <t>Months</t>
  </si>
  <si>
    <t>Years</t>
  </si>
  <si>
    <t>Permanent Supportive Housing</t>
  </si>
  <si>
    <t xml:space="preserve">To start, fill in the Model Project Type Information table using the information on the Project Type Matrix as completed by the system modeling workgroup. </t>
  </si>
  <si>
    <t>Use this workbook to gather cost data and determine an estimated Annual Cost Per Unit for a Model project type which can be input into Stella M and used to calculate system costs. Use this workbook for only one project type at a time. To estimate costs of another project type, start over with a new blank workbook.</t>
  </si>
  <si>
    <t>This section provides two tables with project cost summaries for the project type. One or both of the tables can be used to inform the cost assumptions made for a model project type.
The first table can be used when detailed project cost information is available from sample projects. Comparable project cost is entered on the project tabs of the workbook and summarized in this read-only table. This table provides an average unit cost for each cost category and for the project type as a whole.</t>
  </si>
  <si>
    <t>Annual Rental Assistance or Leasing Cost Per Unit</t>
  </si>
  <si>
    <t>Average Annual Rental Assistance or Leasing Cost Per Unit</t>
  </si>
  <si>
    <t>This section provides two tables with project cost summaries for the project type. One or both of the tables can be used to inform the cost assumptions made for a model project type.
The first table can be used when detailed project cost information is available from comparable projects. Comparable project cost is entered on the project tabs of the workbook and summarized in this read-only table. This table provides an average unit cost for each cost category and for the project type as a whole.</t>
  </si>
  <si>
    <t>If the project has rental assistance or leasing costs, the following tables can help you determine average monthly rental assistance, leasing, and utility assistance costs per unit for the project.</t>
  </si>
  <si>
    <t>Workbook Project Type (taken from Model Project Type tab)</t>
  </si>
  <si>
    <t>Safe Haven</t>
  </si>
  <si>
    <t>Transitional Housing</t>
  </si>
  <si>
    <t>Permanent Housing Only</t>
  </si>
  <si>
    <t>Permanent Housing with Services</t>
  </si>
  <si>
    <t>Coordinated Entry</t>
  </si>
  <si>
    <t>Street Outreach</t>
  </si>
  <si>
    <t>Prevention</t>
  </si>
  <si>
    <t>Services Only</t>
  </si>
  <si>
    <t>Use this table to determine the average rental assistance, utility assistance, or combined rental and utility assistance per unit for projects that have variable unit size and therefore variable rental assistance amounts. The resulting averages can then be used to populate the Average Annual Rental Assistance or Leasing Cost per Unit table.</t>
  </si>
  <si>
    <t xml:space="preserve">Use the table below to determine rental assistance or leasing costs per unit for this project.  The duration, cost, frequency, and unit fields must be filled in for the monthly and annual costs to be calculated. If you used the above table to determine rental and utility assistance costs, the resulting averages can be filled in below selecting "While housed only" as the duration, "Per month" as the frequency, and "Per unit/space/household" as the unit. </t>
  </si>
  <si>
    <t>Project Cost Calculator Instructions</t>
  </si>
  <si>
    <r>
      <rPr>
        <sz val="11"/>
        <rFont val="Calibri"/>
        <family val="2"/>
        <scheme val="minor"/>
      </rPr>
      <t xml:space="preserve">This tool is supplemental to the </t>
    </r>
    <r>
      <rPr>
        <u/>
        <sz val="11"/>
        <color theme="10"/>
        <rFont val="Calibri"/>
        <family val="2"/>
        <scheme val="minor"/>
      </rPr>
      <t>System Modeling Assumptions Guide</t>
    </r>
    <r>
      <rPr>
        <sz val="11"/>
        <rFont val="Calibri"/>
        <family val="2"/>
        <scheme val="minor"/>
      </rPr>
      <t xml:space="preserve"> and is used to gather cost data and develop an estimated Annual Cost Per Unit for a Model project type which can be input into Stella M. Stella M uses project cost estimates along with other assumptions to estimate system costs. This calculator helps communities evaluate the financial resources needed to address homelessness by using the costs of current projects to estimate costs of ideal project types. </t>
    </r>
  </si>
  <si>
    <t>List of Tabs</t>
  </si>
  <si>
    <t xml:space="preserve">Tabs with data entry fields are shaded light blue. Read-only tabs are shaded gray. </t>
  </si>
  <si>
    <r>
      <rPr>
        <b/>
        <sz val="11"/>
        <color theme="1"/>
        <rFont val="Calibri"/>
        <family val="2"/>
        <scheme val="minor"/>
      </rPr>
      <t>Instructions</t>
    </r>
    <r>
      <rPr>
        <sz val="11"/>
        <color theme="1"/>
        <rFont val="Calibri"/>
        <family val="2"/>
        <scheme val="minor"/>
      </rPr>
      <t xml:space="preserve">: Information on how to use the Calculator (read-only).  </t>
    </r>
  </si>
  <si>
    <r>
      <rPr>
        <b/>
        <sz val="11"/>
        <color theme="1"/>
        <rFont val="Calibri"/>
        <family val="2"/>
        <scheme val="minor"/>
      </rPr>
      <t>Example Model Project Type</t>
    </r>
    <r>
      <rPr>
        <sz val="11"/>
        <color theme="1"/>
        <rFont val="Calibri"/>
        <family val="2"/>
        <scheme val="minor"/>
      </rPr>
      <t>: Example of completed Model Project Type tab (read-only). </t>
    </r>
  </si>
  <si>
    <r>
      <rPr>
        <b/>
        <sz val="11"/>
        <color theme="1"/>
        <rFont val="Calibri"/>
        <family val="2"/>
        <scheme val="minor"/>
      </rPr>
      <t>Example Project</t>
    </r>
    <r>
      <rPr>
        <sz val="11"/>
        <color theme="1"/>
        <rFont val="Calibri"/>
        <family val="2"/>
        <scheme val="minor"/>
      </rPr>
      <t>: Example of completed Project tab (read-only). </t>
    </r>
  </si>
  <si>
    <r>
      <rPr>
        <b/>
        <sz val="11"/>
        <color theme="1"/>
        <rFont val="Calibri"/>
        <family val="2"/>
        <scheme val="minor"/>
      </rPr>
      <t>Model Project Type</t>
    </r>
    <r>
      <rPr>
        <sz val="11"/>
        <color theme="1"/>
        <rFont val="Calibri"/>
        <family val="2"/>
        <scheme val="minor"/>
      </rPr>
      <t>: Enter information on this tab for the project type you are modeling for (the “model project type”). This tab includes a summary of the project costs from the sample projects entered on the Project tabs and fillable fields to enter the final cost assumptions for your model project type. This tab also has a table to directly enter annual costs per unit for projects where detailed project costs are not available. </t>
    </r>
  </si>
  <si>
    <r>
      <rPr>
        <b/>
        <sz val="11"/>
        <color theme="1"/>
        <rFont val="Calibri"/>
        <family val="2"/>
        <scheme val="minor"/>
      </rPr>
      <t>Project # (Project 1-Project 10)</t>
    </r>
    <r>
      <rPr>
        <sz val="11"/>
        <color theme="1"/>
        <rFont val="Calibri"/>
        <family val="2"/>
        <scheme val="minor"/>
      </rPr>
      <t>: Enter information for each of the comparable projects you are using to help estimate costs of the model project type. </t>
    </r>
  </si>
  <si>
    <t>Quick Start: How to Use the Calculator</t>
  </si>
  <si>
    <t>1.</t>
  </si>
  <si>
    <t xml:space="preserve">Gather project cost data from comparable projects to the project type you are modeling. You may want to look at different project types if there is not a perfect match. For example, if you are modeling for a service-enriched dedicated affordable housing project type, you may want to draw project cost information from rapid rehousing projects, affordable housing projects, and permanent supportive housing projects. You may look at projects outside of the community if there are not suitable local examples. See below for further instructions.  </t>
  </si>
  <si>
    <t>2.</t>
  </si>
  <si>
    <t>3.</t>
  </si>
  <si>
    <t>There are two ways to enter project cost information from comparable projects: </t>
  </si>
  <si>
    <t>a.</t>
  </si>
  <si>
    <t>b.</t>
  </si>
  <si>
    <t xml:space="preserve">4. </t>
  </si>
  <si>
    <t>5.</t>
  </si>
  <si>
    <t>If your community is modeling more than one project type, start over with a new workbook and repeat steps 1 through 4 for each project type included in the system model.</t>
  </si>
  <si>
    <t xml:space="preserve">6. </t>
  </si>
  <si>
    <r>
      <rPr>
        <sz val="11"/>
        <rFont val="Calibri"/>
        <family val="2"/>
        <scheme val="minor"/>
      </rPr>
      <t xml:space="preserve">Enter the resulting annual per unit project costs in Stella M (see the </t>
    </r>
    <r>
      <rPr>
        <u/>
        <sz val="11"/>
        <color theme="10"/>
        <rFont val="Calibri"/>
        <family val="2"/>
        <scheme val="minor"/>
      </rPr>
      <t>Stella M User Guide</t>
    </r>
    <r>
      <rPr>
        <sz val="11"/>
        <rFont val="Calibri"/>
        <family val="2"/>
        <scheme val="minor"/>
      </rPr>
      <t xml:space="preserve"> for more information).  </t>
    </r>
  </si>
  <si>
    <t>Instructions on Gathering and Entering Current Project Information</t>
  </si>
  <si>
    <t>The Housing Inventory Count (HIC) is a good place to start to identify projects that are similar to the model project type in terms of purpose, population served, and services provided. Do not limit information gathering to a single funding source. Examine diversely funded projects to the extent possible for better comparison and evaluation. The system modeling workgroup can help with this process though additional cost information gathering and outreach may be needed. When requesting information from providers, be transparent about the purpose of the request and how the data will be used. </t>
  </si>
  <si>
    <t xml:space="preserve">Project Details   </t>
  </si>
  <si>
    <r>
      <t xml:space="preserve">When detailed project cost information is available (broken down by type of cost), enter project information on the </t>
    </r>
    <r>
      <rPr>
        <b/>
        <sz val="11"/>
        <color theme="1"/>
        <rFont val="Calibri"/>
        <family val="2"/>
        <scheme val="minor"/>
      </rPr>
      <t>Project</t>
    </r>
    <r>
      <rPr>
        <sz val="11"/>
        <color theme="1"/>
        <rFont val="Calibri"/>
        <family val="2"/>
        <scheme val="minor"/>
      </rPr>
      <t xml:space="preserve"> tabs using a separate tab for each project (</t>
    </r>
    <r>
      <rPr>
        <b/>
        <sz val="11"/>
        <color theme="1"/>
        <rFont val="Calibri"/>
        <family val="2"/>
        <scheme val="minor"/>
      </rPr>
      <t>Project 1</t>
    </r>
    <r>
      <rPr>
        <sz val="11"/>
        <color theme="1"/>
        <rFont val="Calibri"/>
        <family val="2"/>
        <scheme val="minor"/>
      </rPr>
      <t xml:space="preserve">, </t>
    </r>
    <r>
      <rPr>
        <b/>
        <sz val="11"/>
        <color theme="1"/>
        <rFont val="Calibri"/>
        <family val="2"/>
        <scheme val="minor"/>
      </rPr>
      <t>Project 2</t>
    </r>
    <r>
      <rPr>
        <sz val="11"/>
        <color theme="1"/>
        <rFont val="Calibri"/>
        <family val="2"/>
        <scheme val="minor"/>
      </rPr>
      <t xml:space="preserve">, etc.). Project information includes project type, length of assistance and capacity, and project costs. See the </t>
    </r>
    <r>
      <rPr>
        <b/>
        <sz val="11"/>
        <color theme="1"/>
        <rFont val="Calibri"/>
        <family val="2"/>
        <scheme val="minor"/>
      </rPr>
      <t>Example Project</t>
    </r>
    <r>
      <rPr>
        <sz val="11"/>
        <color theme="1"/>
        <rFont val="Calibri"/>
        <family val="2"/>
        <scheme val="minor"/>
      </rPr>
      <t xml:space="preserve"> tab. </t>
    </r>
  </si>
  <si>
    <r>
      <t xml:space="preserve">When detailed project cost is not available but total project cost is available, enter project name and cost directly on the </t>
    </r>
    <r>
      <rPr>
        <b/>
        <sz val="11"/>
        <color theme="1"/>
        <rFont val="Calibri"/>
        <family val="2"/>
        <scheme val="minor"/>
      </rPr>
      <t>Model Project Type</t>
    </r>
    <r>
      <rPr>
        <sz val="11"/>
        <color theme="1"/>
        <rFont val="Calibri"/>
        <family val="2"/>
        <scheme val="minor"/>
      </rPr>
      <t xml:space="preserve"> tab in </t>
    </r>
    <r>
      <rPr>
        <b/>
        <sz val="11"/>
        <color theme="1"/>
        <rFont val="Calibri"/>
        <family val="2"/>
        <scheme val="minor"/>
      </rPr>
      <t>Table 2.b: Summary of Total Project Costs from Comparable Projects</t>
    </r>
    <r>
      <rPr>
        <sz val="11"/>
        <color theme="1"/>
        <rFont val="Calibri"/>
        <family val="2"/>
        <scheme val="minor"/>
      </rPr>
      <t>. </t>
    </r>
  </si>
  <si>
    <r>
      <t xml:space="preserve">On the </t>
    </r>
    <r>
      <rPr>
        <b/>
        <sz val="11"/>
        <color theme="1"/>
        <rFont val="Calibri"/>
        <family val="2"/>
        <scheme val="minor"/>
      </rPr>
      <t>Model Project Type</t>
    </r>
    <r>
      <rPr>
        <sz val="11"/>
        <color theme="1"/>
        <rFont val="Calibri"/>
        <family val="2"/>
        <scheme val="minor"/>
      </rPr>
      <t xml:space="preserve"> tab, use the information about the model project type along with the data gathered about current projects to make data-informed assumptions about what the model project type would cost. Enter the cost (either by cost category or total cost) as well as notes about the assumptions used to estimate the cost in </t>
    </r>
    <r>
      <rPr>
        <b/>
        <sz val="11"/>
        <color theme="1"/>
        <rFont val="Calibri"/>
        <family val="2"/>
        <scheme val="minor"/>
      </rPr>
      <t>Table 3: Cost Assumptions for Model Project Type</t>
    </r>
    <r>
      <rPr>
        <sz val="11"/>
        <color theme="1"/>
        <rFont val="Calibri"/>
        <family val="2"/>
        <scheme val="minor"/>
      </rPr>
      <t>. For example, if the model project type includes smaller caseloads you may estimate a higher operations cost per unit. See below for further instructions. </t>
    </r>
  </si>
  <si>
    <t xml:space="preserve">Collect basic information about each project. </t>
  </si>
  <si>
    <t>●</t>
  </si>
  <si>
    <t>Name of project type  </t>
  </si>
  <si>
    <t>Project type  </t>
  </si>
  <si>
    <t>○</t>
  </si>
  <si>
    <t>Notes – anything you want to include to distinguish projects (e.g. X county emergency shelter, X county youth RRH) </t>
  </si>
  <si>
    <t>Length of Assistance and Capacity  </t>
  </si>
  <si>
    <t>Gather information about households' length of assistance and project capacity for each project:  </t>
  </si>
  <si>
    <t>Average point-in-time capacity </t>
  </si>
  <si>
    <t>Projects often serve households throughout their housing journey. The project may serve households while they are actively experiencing homelessness and after they are housed and no longer experiencing homelessness. Since project costs differ between time homeless and time housed, estimate the average number of months for both: </t>
  </si>
  <si>
    <t>Time experiencing homelessness while enrolled in the project </t>
  </si>
  <si>
    <t>Time housed while enrolled in the project  </t>
  </si>
  <si>
    <t xml:space="preserve">Project Costs   </t>
  </si>
  <si>
    <t>Project costs can be entered into the calculator as total cost per project, cost by cost category (administrative, operations, rent assistance, services) or in more granular detail, depending on what information is available and how much time a user has. You do not need to use the same approach for each project included in the calculator. </t>
  </si>
  <si>
    <t>Note, that the cost categories described in the Tool are general for the purpose of estimating project costs in the system model. The categories are not meant to align with a specific funding source. In some cases, a cost might be categorized differently depending on the project type or funding source. </t>
  </si>
  <si>
    <t>Administrative Costs </t>
  </si>
  <si>
    <t>Administrative costs are the costs of overall project management, budgeting, coordination, monitoring, reporting, and evaluation. This includes salaries and benefits for personnel engaged in project management, as well as the costs of administrative services performed under third-party contracts, such as general legal services, accounting services, and audit services. It can also include the costs of goods and services required for project administration, including the rental or purchase of equipment, insurance, utilities, office supplies, and the rental and maintenance (but not purchase) of office space.  </t>
  </si>
  <si>
    <t>When collecting administrative cost data, ask existing projects about their overall project management costs. Request specific information to better understand things like one-time costs such as purchasing accounting software and on-going costs like contracted accounting services that are incurred regularly and have an annual cost. Collect administrative costs from various projects to better understand the cost basis and plan for new project administrative costs. Try not to limit information collection to one funding source. </t>
  </si>
  <si>
    <t>Operations Costs </t>
  </si>
  <si>
    <t>Operations costs are costs for items or services that support the project, rather than services to individual clients. For example, facility maintenance, rent for a facility-based project or project office space, property taxes and insurance, security systems, utilities, furniture (office/apartment) and equipment, including office equipment and appliances that remain with the project. Remember, if operations costs are shared across multiple projects, only include the project’s portion in the cost estimates.  </t>
  </si>
  <si>
    <t>When collecting operations costs, look for projects that have similar operational needs and consider geography as appropriate for information like taxes and local office space costs.  </t>
  </si>
  <si>
    <t>Rental Assistance or Leasing Costs  </t>
  </si>
  <si>
    <t>Rent assistance is paid on the client’s behalf to a landlord or property manager to cover a portion or the entirety of the contract rent. Utility assistance is also included in this category. When collecting information from providers on rent assistance cost, break the costs down by the size of unit (single-room-occupancy, 1-bedroom, 2-bedroom, etc.) Determine the contract rent as well as the amount of monthly rent and utility assistance per unit. If clients pay their portion of rent directly to the provider who pays the entire lease cost to the landlord, the clients rent should be subtracted from the lease cost when estimating the amount of assistance.</t>
  </si>
  <si>
    <t>Some providers will be able to report their average rent assistance or leasing cost. For others, The Project Cost Calculator includes a table to help calculate the average rent or lease costs. </t>
  </si>
  <si>
    <t>You may also collect information about the average costs of security deposits, arrears, moving costs, landlord incentives, and application fees. </t>
  </si>
  <si>
    <t>Services Costs </t>
  </si>
  <si>
    <t>Services costs are the costs of direct services provided to project participants. Examples include case management, housing search and counseling services, or outreach.  </t>
  </si>
  <si>
    <t>When collecting services costs request information about the time and effort of staff providing supportive services. Gather information about services that will be provided in the ideal project. When collecting these costs, it may be helpful to engage system partners who provide services comparable to the ones you plan to offer in the ideal project if current projects are not providing them. Consider estimating the cost of services offered per participant enrolled. For example, it might be helpful to estimate the “services package” offered to each participant.</t>
  </si>
  <si>
    <t>Other Costs </t>
  </si>
  <si>
    <t>Use this category only if the costs do not fit in another category. Categorized costs will be more useful in information model project type costs.  </t>
  </si>
  <si>
    <t>Instructions on Estimating Model Project Type Costs</t>
  </si>
  <si>
    <t>The current RRH projects have a caseload ratio of 1:30 and your model rapid rehousing project type has a caseload of 1:15 to increase housing search and placement services. You should estimate a higher services cost for your model project through additional staff salaries or contracted services.  </t>
  </si>
  <si>
    <t>The current street outreach projects utilize staff vehicles and reimburses for mileage, but your ideal project has dedicated agency outreach vehicles. You should account for this change in the model project operating costs.</t>
  </si>
  <si>
    <t>Additional Users of the Project Cost Calculator</t>
  </si>
  <si>
    <t>Analyzing performance and cost data. </t>
  </si>
  <si>
    <t>The tool could be used during annual CoC NOFO competitions as a performance rating factor for cost effectiveness. This could include average cost per unit, average cost per PH exit or average costs per participant served. The tool could also be used to evaluate new project applications. Comparing the proposed costs of new projects to the average costs of existing projects could help CoC’s in their rating and ranking process.  </t>
  </si>
  <si>
    <t>The tool could also be used to evaluate performance and cost effectiveness of comparable grant funded programs like HUD CoC, HUD ESG, HUD CDBG or State funded projects. This analysis could help communities better understand the cost effectiveness of projects in different funding streams and allow them to better prioritize more cost-effective efforts.  </t>
  </si>
  <si>
    <t>Developing a standard rate for procuring housing &amp; services for contracting. </t>
  </si>
  <si>
    <t>Some communities may have the ability to contract for direct services such as case management or for housing opportunities using Leasing funds. This tool could help inform community decisions by identifying average costs for services or units in comparable projects. Average costs could be used as a factor in evaluating potential contractors or as a performance indicator for existing contracts.  </t>
  </si>
  <si>
    <t>Resources</t>
  </si>
  <si>
    <t>More information on HUD funded projects  </t>
  </si>
  <si>
    <t>Use the table below to determine operations costs per unit for this project. The duration, cost, frequency, and unit fields must be filled in for the monthly and annual costs to be calculated. The examples below are for the purposes of demonstrating the tool's functionality and do not imply any HUD recommendations.</t>
  </si>
  <si>
    <t xml:space="preserve">Use the table below to determine administrative costs per unit for this project. The duration, cost, frequency, and unit fields must be filled in for the monthly and annual costs to be calculated. The examples below are for the purposes of demonstrating the tool's functionality and do not imply any HUD recommendations. </t>
  </si>
  <si>
    <t xml:space="preserve">If the project has rental assistance or leasing costs, the following tables can help you determine average monthly rental assistance, leasing, and utility assistance costs per unit for the project. The examples below are for the purposes of demonstrating the tool's functionality and do not imply any HUD recommendations. </t>
  </si>
  <si>
    <t xml:space="preserve">Use the table below to determine service costs per unit for this project. The duration, cost, frequency, and unit fields must be filled in for the monthly and annual costs to be calculated. The examples below are for the purposes of demonstrating the tool's functionality and do not imply any HUD recommendations. </t>
  </si>
  <si>
    <t xml:space="preserve">Use the table below to determine other costs per unit for this project. The duration, cost, frequency, and unit fields must be filled in for the monthly and annual costs to be calculated. The examples below are for the purposes of demonstrating the tool's functionality and do not imply any HUD recommendations. </t>
  </si>
  <si>
    <t xml:space="preserve">Monthly Rent </t>
  </si>
  <si>
    <t>Recommendations on Using the Project Cost Calculator with Respect to CoC Cost Eligibility</t>
  </si>
  <si>
    <t>Typically,</t>
  </si>
  <si>
    <t>Transitional Housing projects have Leasing and Operations BLIs</t>
  </si>
  <si>
    <t>Rapid Rehousing projects have Rental Assistance BLIs, and the Supportive Services BLI covers the operating costs of the workspace for staff</t>
  </si>
  <si>
    <t>Staff training</t>
  </si>
  <si>
    <t>Management staff time</t>
  </si>
  <si>
    <t xml:space="preserve"> oversight, coordination</t>
  </si>
  <si>
    <t xml:space="preserve">Case management </t>
  </si>
  <si>
    <t>1.5 FTE</t>
  </si>
  <si>
    <t>RRH</t>
  </si>
  <si>
    <t>Households that do not have high service needs and have likelihood of increasing income to afford market rate rent with 12 months.</t>
  </si>
  <si>
    <t>N/A</t>
  </si>
  <si>
    <t>Project-wide</t>
  </si>
  <si>
    <t>Application fees</t>
  </si>
  <si>
    <t>The tool does not limit cost estimates to CoC eligible costs and communities are encouraged to be realistic when estimating the full costs of model projects. The primary purpose of the Project Cost Calculator is to develop inputs for annual unit cost per project type to input into Stella M. This is possible whether or not the project costs are categorized consistently with the CoC eligible cost categories.</t>
  </si>
  <si>
    <t>In this document, the term Budget Line Items (BLIs) refers to the 24 CFR 578 Eligible costs categories.</t>
  </si>
  <si>
    <t>Permanent Supportive Housing projects have Leasing and Operations BLIs</t>
  </si>
  <si>
    <t>When using the Project Cost Calculator, consider the operating costs of the project as defined in the instructions guide - costs for items or services that support the project, rather than services to individual clients.</t>
  </si>
  <si>
    <t>For the Rental Assistance or Leasing section of the project cost, consider the costs per household.</t>
  </si>
  <si>
    <t xml:space="preserve">System modeling is a helpful framework to support data-informed CoC program funding priorities. Though the Project Cost Calculator is designed to be used by communities to estimate the costs of a project regardless of funding sources, this tab provides additional information on CoC program allowable costs to facilitate the use of system modeling and Stella M for the CoC program. </t>
  </si>
  <si>
    <t>Utility Costs</t>
  </si>
  <si>
    <t>Moving Costs</t>
  </si>
  <si>
    <t>Landlord Incentives</t>
  </si>
  <si>
    <t>Credit Repair</t>
  </si>
  <si>
    <t>Housing Search &amp; Placement</t>
  </si>
  <si>
    <t>Child Care</t>
  </si>
  <si>
    <t>Education Services</t>
  </si>
  <si>
    <t>Employment Assistance</t>
  </si>
  <si>
    <t>Outpatient Health Services</t>
  </si>
  <si>
    <t>Legal Services</t>
  </si>
  <si>
    <t>Life Skills Training</t>
  </si>
  <si>
    <t>Behavioral Health Services</t>
  </si>
  <si>
    <t>Transportation</t>
  </si>
  <si>
    <t>Other Services</t>
  </si>
  <si>
    <t>Project A</t>
  </si>
  <si>
    <t>Model project cost assumptions based on Project A (additional support services and landlord incentives) leading to better housing outcomes than the other projects.</t>
  </si>
  <si>
    <t>Communities are frequently asked by partners and funders to identify the types of housing interventions and cost estimates required to address homelessness. The purpose of the Project Cost Calculator is to provide communities with a framework to make data-informed cost estimates for each project type included in the system model.  </t>
  </si>
  <si>
    <t>If “other”, explanation of the project model  </t>
  </si>
  <si>
    <t>Once you have gathered and entered project data from several projects, it is time to use the data to make an informed estimate about the cost of the Model Project Type. Before you begin, review project type details, such as the target population and services provided and review the examples of expenses in the tool (rental costs, furnishings, transportation, staffing, etc.) Consider how the actual projects are similar or different to the model project, and how those differences should be reflected in the Model Project Type costs. Here are some examples:  </t>
  </si>
  <si>
    <r>
      <rPr>
        <sz val="11"/>
        <rFont val="Calibri"/>
        <family val="2"/>
        <scheme val="minor"/>
      </rPr>
      <t xml:space="preserve">For complete information on CoC eligible costs, see: </t>
    </r>
    <r>
      <rPr>
        <u/>
        <sz val="11"/>
        <color theme="10"/>
        <rFont val="Calibri"/>
        <family val="2"/>
        <scheme val="minor"/>
      </rPr>
      <t>CoC Program Components - Eligible Costs</t>
    </r>
  </si>
  <si>
    <t>Homeless System Response: Case Management Ratios </t>
  </si>
  <si>
    <t>The tool may be used to perform other analysis such as:  </t>
  </si>
  <si>
    <r>
      <rPr>
        <sz val="11"/>
        <rFont val="Calibri"/>
        <family val="2"/>
        <scheme val="minor"/>
      </rPr>
      <t xml:space="preserve">To use the calculator on the </t>
    </r>
    <r>
      <rPr>
        <b/>
        <sz val="11"/>
        <rFont val="Calibri"/>
        <family val="2"/>
        <scheme val="minor"/>
      </rPr>
      <t>Model Project Type</t>
    </r>
    <r>
      <rPr>
        <sz val="11"/>
        <rFont val="Calibri"/>
        <family val="2"/>
        <scheme val="minor"/>
      </rPr>
      <t xml:space="preserve"> tab, enter project type information from the </t>
    </r>
    <r>
      <rPr>
        <u/>
        <sz val="11"/>
        <color theme="10"/>
        <rFont val="Calibri"/>
        <family val="2"/>
        <scheme val="minor"/>
      </rPr>
      <t>Project Type Matrix Worksheet</t>
    </r>
    <r>
      <rPr>
        <sz val="11"/>
        <rFont val="Calibri"/>
        <family val="2"/>
        <scheme val="minor"/>
      </rPr>
      <t xml:space="preserve"> in </t>
    </r>
    <r>
      <rPr>
        <b/>
        <sz val="11"/>
        <rFont val="Calibri"/>
        <family val="2"/>
        <scheme val="minor"/>
      </rPr>
      <t>Table 1: Model Project Type Details</t>
    </r>
    <r>
      <rPr>
        <sz val="11"/>
        <rFont val="Calibri"/>
        <family val="2"/>
        <scheme val="minor"/>
      </rPr>
      <t xml:space="preserve">. Use this workbook for only one project type at a time. To estimate costs of another project type, start over with a new blank workbook. See the </t>
    </r>
    <r>
      <rPr>
        <b/>
        <sz val="11"/>
        <rFont val="Calibri"/>
        <family val="2"/>
        <scheme val="minor"/>
      </rPr>
      <t>Example Model Project Type</t>
    </r>
    <r>
      <rPr>
        <sz val="11"/>
        <rFont val="Calibri"/>
        <family val="2"/>
        <scheme val="minor"/>
      </rPr>
      <t xml:space="preserve"> tab. </t>
    </r>
  </si>
  <si>
    <r>
      <rPr>
        <sz val="11"/>
        <rFont val="Calibri"/>
        <family val="2"/>
        <scheme val="minor"/>
      </rPr>
      <t xml:space="preserve">Users are strongly encouraged to use this tool in tandem with the </t>
    </r>
    <r>
      <rPr>
        <u/>
        <sz val="11"/>
        <color theme="10"/>
        <rFont val="Calibri"/>
        <family val="2"/>
        <scheme val="minor"/>
      </rPr>
      <t>Project Type Matrix Worksheet.</t>
    </r>
    <r>
      <rPr>
        <sz val="11"/>
        <rFont val="Calibri"/>
        <family val="2"/>
        <scheme val="minor"/>
      </rPr>
      <t xml:space="preserve"> This workbook may only be used to evaluate one project type at a time. For users evaluating multiple project types, each different project type will require the user to start over with a new blank workbook.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</si>
</sst>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quot;$&quot;* #,##0.00_);_(&quot;$&quot;* \(#,##0.00\);_(&quot;$&quot;* &quot;-&quot;??_);_(@_)"/>
    <numFmt numFmtId="164" formatCode="&quot;$&quot;#,##0.00"/>
    <numFmt numFmtId="165" formatCode="&quot;$&quot;#,##0"/>
  </numFmts>
  <fonts count="21"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b/>
      <i/>
      <sz val="11"/>
      <color theme="1"/>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
      <b/>
      <sz val="11"/>
      <name val="Calibri"/>
      <family val="2"/>
      <scheme val="minor"/>
    </font>
    <font>
      <i/>
      <sz val="11"/>
      <name val="Calibri"/>
      <family val="2"/>
      <scheme val="minor"/>
    </font>
    <font>
      <b/>
      <i/>
      <sz val="11"/>
      <color theme="0"/>
      <name val="Calibri"/>
      <family val="2"/>
      <scheme val="minor"/>
    </font>
    <font>
      <b/>
      <sz val="20"/>
      <color theme="0"/>
      <name val="Calibri"/>
      <family val="2"/>
      <scheme val="minor"/>
    </font>
    <font>
      <i/>
      <sz val="11"/>
      <color theme="1"/>
      <name val="Calibri"/>
      <family val="2"/>
      <scheme val="minor"/>
    </font>
    <font>
      <sz val="11"/>
      <name val="Calibri"/>
      <family val="2"/>
      <scheme val="minor"/>
    </font>
    <font>
      <b/>
      <i/>
      <sz val="20"/>
      <color theme="0"/>
      <name val="Calibri"/>
      <family val="2"/>
      <scheme val="minor"/>
    </font>
    <font>
      <b/>
      <i/>
      <sz val="11"/>
      <name val="Calibri"/>
      <family val="2"/>
      <scheme val="minor"/>
    </font>
    <font>
      <i/>
      <u/>
      <sz val="11"/>
      <color theme="10"/>
      <name val="Calibri"/>
      <family val="2"/>
      <scheme val="minor"/>
    </font>
    <font>
      <b/>
      <i/>
      <sz val="16"/>
      <color theme="0"/>
      <name val="Calibri"/>
      <family val="2"/>
      <scheme val="minor"/>
    </font>
    <font>
      <i/>
      <sz val="16"/>
      <color theme="1"/>
      <name val="Calibri"/>
      <family val="2"/>
      <scheme val="minor"/>
    </font>
    <font>
      <sz val="11"/>
      <color theme="1"/>
      <name val="Calibri"/>
      <family val="2"/>
    </font>
    <font>
      <sz val="11"/>
      <color rgb="FF000000"/>
      <name val="Calibri"/>
      <family val="2"/>
      <scheme val="minor"/>
    </font>
  </fonts>
  <fills count="17">
    <fill>
      <patternFill patternType="none"/>
    </fill>
    <fill>
      <patternFill patternType="gray125"/>
    </fill>
    <fill>
      <patternFill patternType="solid">
        <fgColor theme="6"/>
      </patternFill>
    </fill>
    <fill>
      <patternFill patternType="solid">
        <fgColor theme="6" tint="0.39997558519241921"/>
        <bgColor indexed="65"/>
      </patternFill>
    </fill>
    <fill>
      <patternFill patternType="solid">
        <fgColor theme="0" tint="-0.14999847407452621"/>
        <bgColor indexed="64"/>
      </patternFill>
    </fill>
    <fill>
      <patternFill patternType="solid">
        <fgColor theme="9" tint="-0.249977111117893"/>
        <bgColor indexed="64"/>
      </patternFill>
    </fill>
    <fill>
      <patternFill patternType="solid">
        <fgColor theme="9" tint="-0.499984740745262"/>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0" tint="-0.34998626667073579"/>
        <bgColor indexed="64"/>
      </patternFill>
    </fill>
    <fill>
      <patternFill patternType="solid">
        <fgColor theme="1"/>
        <bgColor indexed="64"/>
      </patternFill>
    </fill>
    <fill>
      <patternFill patternType="solid">
        <fgColor theme="1" tint="4.9989318521683403E-2"/>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A94D0F"/>
        <bgColor indexed="64"/>
      </patternFill>
    </fill>
  </fills>
  <borders count="54">
    <border>
      <left/>
      <right/>
      <top/>
      <bottom/>
      <diagonal/>
    </border>
    <border>
      <left style="thin">
        <color theme="4"/>
      </left>
      <right style="thin">
        <color theme="4"/>
      </right>
      <top style="thin">
        <color theme="4"/>
      </top>
      <bottom style="thin">
        <color theme="4"/>
      </bottom>
      <diagonal/>
    </border>
    <border>
      <left/>
      <right/>
      <top style="thin">
        <color indexed="64"/>
      </top>
      <bottom/>
      <diagonal/>
    </border>
    <border>
      <left/>
      <right/>
      <top/>
      <bottom style="double">
        <color indexed="64"/>
      </bottom>
      <diagonal/>
    </border>
    <border>
      <left style="thick">
        <color theme="0"/>
      </left>
      <right style="thick">
        <color theme="0"/>
      </right>
      <top style="thick">
        <color theme="0"/>
      </top>
      <bottom style="thick">
        <color theme="0"/>
      </bottom>
      <diagonal/>
    </border>
    <border>
      <left/>
      <right/>
      <top style="thin">
        <color indexed="64"/>
      </top>
      <bottom style="thin">
        <color indexed="64"/>
      </bottom>
      <diagonal/>
    </border>
    <border>
      <left style="thick">
        <color theme="0"/>
      </left>
      <right style="thick">
        <color theme="0"/>
      </right>
      <top style="thick">
        <color theme="0"/>
      </top>
      <bottom/>
      <diagonal/>
    </border>
    <border>
      <left/>
      <right/>
      <top/>
      <bottom style="thin">
        <color indexed="64"/>
      </bottom>
      <diagonal/>
    </border>
    <border>
      <left/>
      <right style="thick">
        <color theme="0"/>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style="double">
        <color indexed="64"/>
      </bottom>
      <diagonal/>
    </border>
    <border>
      <left style="thick">
        <color theme="0"/>
      </left>
      <right/>
      <top style="thick">
        <color theme="0"/>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thick">
        <color theme="0"/>
      </left>
      <right style="thick">
        <color theme="0"/>
      </right>
      <top/>
      <bottom style="thick">
        <color theme="0"/>
      </bottom>
      <diagonal/>
    </border>
    <border>
      <left/>
      <right style="thin">
        <color indexed="64"/>
      </right>
      <top style="thin">
        <color indexed="64"/>
      </top>
      <bottom style="double">
        <color indexed="64"/>
      </bottom>
      <diagonal/>
    </border>
    <border>
      <left style="thick">
        <color theme="0"/>
      </left>
      <right/>
      <top/>
      <bottom/>
      <diagonal/>
    </border>
    <border>
      <left/>
      <right/>
      <top style="thin">
        <color theme="2" tint="-0.249977111117893"/>
      </top>
      <bottom/>
      <diagonal/>
    </border>
    <border>
      <left/>
      <right/>
      <top style="thin">
        <color theme="2" tint="-0.249977111117893"/>
      </top>
      <bottom style="thin">
        <color theme="2" tint="-0.249977111117893"/>
      </bottom>
      <diagonal/>
    </border>
    <border>
      <left/>
      <right/>
      <top/>
      <bottom style="thin">
        <color theme="2" tint="-0.249977111117893"/>
      </bottom>
      <diagonal/>
    </border>
    <border>
      <left/>
      <right/>
      <top/>
      <bottom style="thin">
        <color theme="2" tint="-0.24994659260841701"/>
      </bottom>
      <diagonal/>
    </border>
    <border>
      <left/>
      <right/>
      <top style="thin">
        <color theme="2" tint="-0.24994659260841701"/>
      </top>
      <bottom style="thin">
        <color theme="2" tint="-0.24994659260841701"/>
      </bottom>
      <diagonal/>
    </border>
    <border>
      <left/>
      <right/>
      <top style="thin">
        <color theme="2" tint="-0.249977111117893"/>
      </top>
      <bottom style="thin">
        <color theme="2" tint="-0.24994659260841701"/>
      </bottom>
      <diagonal/>
    </border>
    <border>
      <left/>
      <right/>
      <top style="thin">
        <color theme="2" tint="-0.24994659260841701"/>
      </top>
      <bottom style="thin">
        <color theme="2" tint="-0.249977111117893"/>
      </bottom>
      <diagonal/>
    </border>
    <border>
      <left style="thin">
        <color indexed="64"/>
      </left>
      <right/>
      <top/>
      <bottom style="thin">
        <color rgb="FF000000"/>
      </bottom>
      <diagonal/>
    </border>
    <border>
      <left style="thin">
        <color indexed="64"/>
      </left>
      <right style="thin">
        <color indexed="64"/>
      </right>
      <top/>
      <bottom/>
      <diagonal/>
    </border>
    <border>
      <left/>
      <right/>
      <top style="thin">
        <color indexed="64"/>
      </top>
      <bottom style="thin">
        <color theme="2" tint="-0.249977111117893"/>
      </bottom>
      <diagonal/>
    </border>
    <border>
      <left/>
      <right style="thin">
        <color indexed="64"/>
      </right>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0"/>
      </top>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thin">
        <color theme="0"/>
      </top>
      <bottom/>
      <diagonal/>
    </border>
    <border>
      <left/>
      <right style="medium">
        <color auto="1"/>
      </right>
      <top style="thin">
        <color theme="0"/>
      </top>
      <bottom/>
      <diagonal/>
    </border>
    <border>
      <left style="medium">
        <color auto="1"/>
      </left>
      <right/>
      <top style="thin">
        <color theme="0"/>
      </top>
      <bottom style="thin">
        <color theme="0"/>
      </bottom>
      <diagonal/>
    </border>
    <border>
      <left/>
      <right style="medium">
        <color auto="1"/>
      </right>
      <top style="thin">
        <color theme="0"/>
      </top>
      <bottom style="thin">
        <color theme="0"/>
      </bottom>
      <diagonal/>
    </border>
    <border>
      <left style="medium">
        <color auto="1"/>
      </left>
      <right style="thin">
        <color theme="0"/>
      </right>
      <top style="thin">
        <color theme="0"/>
      </top>
      <bottom style="thin">
        <color theme="0"/>
      </bottom>
      <diagonal/>
    </border>
    <border>
      <left style="thin">
        <color theme="0"/>
      </left>
      <right style="medium">
        <color auto="1"/>
      </right>
      <top style="thin">
        <color theme="0"/>
      </top>
      <bottom style="thin">
        <color theme="0"/>
      </bottom>
      <diagonal/>
    </border>
    <border>
      <left style="medium">
        <color auto="1"/>
      </left>
      <right style="thin">
        <color theme="0"/>
      </right>
      <top style="thin">
        <color theme="0"/>
      </top>
      <bottom style="medium">
        <color auto="1"/>
      </bottom>
      <diagonal/>
    </border>
    <border>
      <left style="thin">
        <color theme="0"/>
      </left>
      <right style="thin">
        <color theme="0"/>
      </right>
      <top style="thin">
        <color theme="0"/>
      </top>
      <bottom style="medium">
        <color auto="1"/>
      </bottom>
      <diagonal/>
    </border>
    <border>
      <left style="thin">
        <color theme="0"/>
      </left>
      <right style="medium">
        <color auto="1"/>
      </right>
      <top style="thin">
        <color theme="0"/>
      </top>
      <bottom style="medium">
        <color auto="1"/>
      </bottom>
      <diagonal/>
    </border>
    <border>
      <left style="thin">
        <color indexed="64"/>
      </left>
      <right style="thin">
        <color indexed="64"/>
      </right>
      <top style="thin">
        <color theme="0"/>
      </top>
      <bottom style="thin">
        <color theme="0"/>
      </bottom>
      <diagonal/>
    </border>
    <border>
      <left/>
      <right/>
      <top style="double">
        <color indexed="64"/>
      </top>
      <bottom style="double">
        <color indexed="64"/>
      </bottom>
      <diagonal/>
    </border>
    <border>
      <left style="medium">
        <color indexed="64"/>
      </left>
      <right style="thin">
        <color indexed="64"/>
      </right>
      <top style="thin">
        <color theme="0"/>
      </top>
      <bottom style="thin">
        <color theme="0"/>
      </bottom>
      <diagonal/>
    </border>
    <border>
      <left style="thin">
        <color indexed="64"/>
      </left>
      <right style="medium">
        <color indexed="64"/>
      </right>
      <top style="thin">
        <color theme="0"/>
      </top>
      <bottom style="thin">
        <color theme="0"/>
      </bottom>
      <diagonal/>
    </border>
  </borders>
  <cellStyleXfs count="6">
    <xf numFmtId="0" fontId="0" fillId="0" borderId="0"/>
    <xf numFmtId="44" fontId="1" fillId="0" borderId="0" applyFont="0" applyFill="0" applyBorder="0" applyAlignment="0" applyProtection="0"/>
    <xf numFmtId="0" fontId="6" fillId="2" borderId="0" applyNumberFormat="0" applyBorder="0" applyAlignment="0" applyProtection="0"/>
    <xf numFmtId="0" fontId="2" fillId="0" borderId="1" applyAlignment="0">
      <alignment wrapText="1"/>
    </xf>
    <xf numFmtId="0" fontId="1" fillId="3" borderId="0" applyNumberFormat="0" applyBorder="0" applyAlignment="0" applyProtection="0"/>
    <xf numFmtId="0" fontId="7" fillId="0" borderId="0" applyNumberFormat="0" applyFill="0" applyBorder="0" applyAlignment="0" applyProtection="0"/>
  </cellStyleXfs>
  <cellXfs count="312">
    <xf numFmtId="0" fontId="0" fillId="0" borderId="0" xfId="0"/>
    <xf numFmtId="0" fontId="2" fillId="0" borderId="0" xfId="0" applyFont="1"/>
    <xf numFmtId="44" fontId="0" fillId="0" borderId="0" xfId="1" applyFont="1"/>
    <xf numFmtId="0" fontId="0" fillId="0" borderId="0" xfId="0" applyAlignment="1">
      <alignment wrapText="1"/>
    </xf>
    <xf numFmtId="0" fontId="2" fillId="0" borderId="0" xfId="3" applyBorder="1" applyAlignment="1"/>
    <xf numFmtId="165" fontId="0" fillId="0" borderId="0" xfId="1" applyNumberFormat="1" applyFont="1"/>
    <xf numFmtId="165" fontId="0" fillId="0" borderId="0" xfId="0" applyNumberFormat="1"/>
    <xf numFmtId="0" fontId="2" fillId="0" borderId="0" xfId="3" applyBorder="1" applyAlignment="1">
      <alignment horizontal="left"/>
    </xf>
    <xf numFmtId="44" fontId="0" fillId="0" borderId="0" xfId="1" applyFont="1" applyAlignment="1">
      <alignment horizontal="right"/>
    </xf>
    <xf numFmtId="44" fontId="1" fillId="0" borderId="0" xfId="1" applyFont="1" applyAlignment="1">
      <alignment horizontal="right"/>
    </xf>
    <xf numFmtId="0" fontId="5" fillId="0" borderId="0" xfId="0" applyFont="1" applyAlignment="1">
      <alignment wrapText="1"/>
    </xf>
    <xf numFmtId="0" fontId="0" fillId="0" borderId="0" xfId="0" applyAlignment="1">
      <alignment horizontal="left" wrapText="1"/>
    </xf>
    <xf numFmtId="44" fontId="0" fillId="0" borderId="0" xfId="1" applyFont="1" applyFill="1"/>
    <xf numFmtId="0" fontId="8" fillId="4" borderId="0" xfId="2" applyFont="1" applyFill="1" applyBorder="1" applyAlignment="1">
      <alignment wrapText="1"/>
    </xf>
    <xf numFmtId="0" fontId="2" fillId="4" borderId="5" xfId="4" applyFont="1" applyFill="1" applyBorder="1"/>
    <xf numFmtId="0" fontId="1" fillId="4" borderId="5" xfId="4" applyFill="1" applyBorder="1"/>
    <xf numFmtId="164" fontId="2" fillId="4" borderId="5" xfId="4" applyNumberFormat="1" applyFont="1" applyFill="1" applyBorder="1" applyAlignment="1">
      <alignment horizontal="left"/>
    </xf>
    <xf numFmtId="0" fontId="2" fillId="4" borderId="3" xfId="4" applyFont="1" applyFill="1" applyBorder="1" applyAlignment="1">
      <alignment horizontal="center" vertical="center"/>
    </xf>
    <xf numFmtId="0" fontId="2" fillId="4" borderId="3" xfId="4" applyFont="1" applyFill="1" applyBorder="1"/>
    <xf numFmtId="0" fontId="2" fillId="0" borderId="0" xfId="4" applyFont="1" applyFill="1" applyBorder="1" applyAlignment="1">
      <alignment horizontal="center" vertical="center"/>
    </xf>
    <xf numFmtId="0" fontId="2" fillId="0" borderId="0" xfId="4" applyFont="1" applyFill="1" applyBorder="1"/>
    <xf numFmtId="164" fontId="2" fillId="0" borderId="0" xfId="4" applyNumberFormat="1" applyFont="1" applyFill="1" applyBorder="1" applyAlignment="1">
      <alignment horizontal="left"/>
    </xf>
    <xf numFmtId="44" fontId="1" fillId="0" borderId="0" xfId="1" applyFont="1" applyFill="1" applyAlignment="1">
      <alignment horizontal="right"/>
    </xf>
    <xf numFmtId="165" fontId="5" fillId="0" borderId="0" xfId="1" applyNumberFormat="1" applyFont="1" applyFill="1" applyBorder="1" applyAlignment="1">
      <alignment horizontal="right"/>
    </xf>
    <xf numFmtId="164" fontId="0" fillId="4" borderId="3" xfId="1" applyNumberFormat="1" applyFont="1" applyFill="1" applyBorder="1" applyAlignment="1">
      <alignment horizontal="left"/>
    </xf>
    <xf numFmtId="164" fontId="0" fillId="0" borderId="0" xfId="1" applyNumberFormat="1" applyFont="1" applyFill="1" applyBorder="1" applyAlignment="1">
      <alignment horizontal="left"/>
    </xf>
    <xf numFmtId="0" fontId="2" fillId="4" borderId="0" xfId="4" applyFont="1" applyFill="1" applyBorder="1" applyAlignment="1">
      <alignment horizontal="left"/>
    </xf>
    <xf numFmtId="0" fontId="2" fillId="4" borderId="3" xfId="4" applyFont="1" applyFill="1" applyBorder="1" applyAlignment="1">
      <alignment horizontal="left"/>
    </xf>
    <xf numFmtId="0" fontId="2" fillId="4" borderId="0" xfId="4" applyFont="1" applyFill="1" applyBorder="1" applyAlignment="1">
      <alignment horizontal="center" vertical="center"/>
    </xf>
    <xf numFmtId="0" fontId="2" fillId="4" borderId="2" xfId="4" applyFont="1" applyFill="1" applyBorder="1" applyAlignment="1">
      <alignment horizontal="center" vertical="center"/>
    </xf>
    <xf numFmtId="0" fontId="5" fillId="0" borderId="0" xfId="0" applyFont="1" applyAlignment="1">
      <alignment horizontal="left" wrapText="1"/>
    </xf>
    <xf numFmtId="0" fontId="0" fillId="0" borderId="15" xfId="0" applyBorder="1" applyAlignment="1">
      <alignment horizontal="left" wrapText="1"/>
    </xf>
    <xf numFmtId="0" fontId="8" fillId="0" borderId="0" xfId="0" applyFont="1" applyAlignment="1">
      <alignment horizontal="left" wrapText="1"/>
    </xf>
    <xf numFmtId="0" fontId="2" fillId="0" borderId="0" xfId="3" applyBorder="1" applyAlignment="1">
      <alignment wrapText="1"/>
    </xf>
    <xf numFmtId="0" fontId="5" fillId="0" borderId="8" xfId="3" applyFont="1" applyBorder="1" applyAlignment="1">
      <alignment horizontal="center" vertical="center"/>
    </xf>
    <xf numFmtId="0" fontId="5" fillId="0" borderId="0" xfId="3" applyFont="1" applyBorder="1" applyAlignment="1">
      <alignment horizontal="center" vertical="center"/>
    </xf>
    <xf numFmtId="0" fontId="11" fillId="0" borderId="0" xfId="0" applyFont="1" applyAlignment="1">
      <alignment wrapText="1"/>
    </xf>
    <xf numFmtId="164" fontId="0" fillId="4" borderId="5" xfId="1" applyNumberFormat="1" applyFont="1" applyFill="1" applyBorder="1" applyAlignment="1">
      <alignment horizontal="left"/>
    </xf>
    <xf numFmtId="0" fontId="2" fillId="4" borderId="2" xfId="4" applyFont="1" applyFill="1" applyBorder="1" applyAlignment="1">
      <alignment horizontal="left"/>
    </xf>
    <xf numFmtId="0" fontId="5" fillId="0" borderId="18" xfId="3" applyFont="1" applyBorder="1" applyAlignment="1">
      <alignment horizontal="center" vertical="center"/>
    </xf>
    <xf numFmtId="0" fontId="2" fillId="0" borderId="19" xfId="3" applyBorder="1" applyAlignment="1">
      <alignment horizontal="left"/>
    </xf>
    <xf numFmtId="164" fontId="2" fillId="4" borderId="5" xfId="1" applyNumberFormat="1" applyFont="1" applyFill="1" applyBorder="1" applyAlignment="1">
      <alignment horizontal="left"/>
    </xf>
    <xf numFmtId="164" fontId="2" fillId="4" borderId="3" xfId="1" applyNumberFormat="1" applyFont="1" applyFill="1" applyBorder="1" applyAlignment="1">
      <alignment horizontal="left"/>
    </xf>
    <xf numFmtId="0" fontId="2" fillId="0" borderId="0" xfId="4" applyFont="1" applyFill="1" applyBorder="1" applyAlignment="1">
      <alignment horizontal="left"/>
    </xf>
    <xf numFmtId="164" fontId="2" fillId="0" borderId="0" xfId="1" applyNumberFormat="1" applyFont="1" applyFill="1" applyBorder="1" applyAlignment="1">
      <alignment horizontal="left"/>
    </xf>
    <xf numFmtId="0" fontId="8" fillId="4" borderId="0" xfId="2" applyFont="1" applyFill="1" applyAlignment="1">
      <alignment wrapText="1"/>
    </xf>
    <xf numFmtId="165" fontId="0" fillId="4" borderId="0" xfId="0" applyNumberFormat="1" applyFill="1" applyAlignment="1">
      <alignment horizontal="left"/>
    </xf>
    <xf numFmtId="165" fontId="0" fillId="4" borderId="5" xfId="1" applyNumberFormat="1" applyFont="1" applyFill="1" applyBorder="1" applyAlignment="1">
      <alignment horizontal="left"/>
    </xf>
    <xf numFmtId="165" fontId="2" fillId="4" borderId="5" xfId="4" applyNumberFormat="1" applyFont="1" applyFill="1" applyBorder="1" applyAlignment="1">
      <alignment horizontal="left"/>
    </xf>
    <xf numFmtId="165" fontId="0" fillId="4" borderId="13" xfId="1" applyNumberFormat="1" applyFont="1" applyFill="1" applyBorder="1" applyAlignment="1">
      <alignment horizontal="left"/>
    </xf>
    <xf numFmtId="165" fontId="2" fillId="4" borderId="3" xfId="4" applyNumberFormat="1" applyFont="1" applyFill="1" applyBorder="1" applyAlignment="1">
      <alignment horizontal="left"/>
    </xf>
    <xf numFmtId="165" fontId="0" fillId="4" borderId="0" xfId="1" applyNumberFormat="1" applyFont="1" applyFill="1" applyAlignment="1">
      <alignment horizontal="left"/>
    </xf>
    <xf numFmtId="165" fontId="2" fillId="4" borderId="7" xfId="4" applyNumberFormat="1" applyFont="1" applyFill="1" applyBorder="1" applyAlignment="1">
      <alignment horizontal="left"/>
    </xf>
    <xf numFmtId="165" fontId="13" fillId="4" borderId="12" xfId="0" applyNumberFormat="1" applyFont="1" applyFill="1" applyBorder="1" applyAlignment="1">
      <alignment horizontal="left"/>
    </xf>
    <xf numFmtId="165" fontId="13" fillId="4" borderId="11" xfId="0" applyNumberFormat="1" applyFont="1" applyFill="1" applyBorder="1" applyAlignment="1">
      <alignment horizontal="left"/>
    </xf>
    <xf numFmtId="165" fontId="13" fillId="4" borderId="26" xfId="0" applyNumberFormat="1" applyFont="1" applyFill="1" applyBorder="1" applyAlignment="1">
      <alignment horizontal="left"/>
    </xf>
    <xf numFmtId="0" fontId="0" fillId="12" borderId="0" xfId="0" applyFill="1" applyAlignment="1">
      <alignment horizontal="left" indent="2"/>
    </xf>
    <xf numFmtId="0" fontId="0" fillId="12" borderId="0" xfId="0" applyFill="1" applyAlignment="1">
      <alignment horizontal="left"/>
    </xf>
    <xf numFmtId="164" fontId="0" fillId="12" borderId="0" xfId="1" applyNumberFormat="1" applyFont="1" applyFill="1" applyBorder="1" applyAlignment="1">
      <alignment horizontal="left"/>
    </xf>
    <xf numFmtId="165" fontId="0" fillId="12" borderId="0" xfId="1" applyNumberFormat="1" applyFont="1" applyFill="1" applyBorder="1" applyAlignment="1">
      <alignment horizontal="left"/>
    </xf>
    <xf numFmtId="0" fontId="0" fillId="12" borderId="0" xfId="0" applyFill="1"/>
    <xf numFmtId="0" fontId="0" fillId="12" borderId="7" xfId="0" applyFill="1" applyBorder="1" applyAlignment="1">
      <alignment horizontal="left" indent="2"/>
    </xf>
    <xf numFmtId="0" fontId="0" fillId="12" borderId="7" xfId="0" applyFill="1" applyBorder="1" applyAlignment="1">
      <alignment horizontal="left"/>
    </xf>
    <xf numFmtId="164" fontId="0" fillId="12" borderId="7" xfId="1" applyNumberFormat="1" applyFont="1" applyFill="1" applyBorder="1" applyAlignment="1">
      <alignment horizontal="left"/>
    </xf>
    <xf numFmtId="165" fontId="0" fillId="12" borderId="7" xfId="1" applyNumberFormat="1" applyFont="1" applyFill="1" applyBorder="1" applyAlignment="1">
      <alignment horizontal="left"/>
    </xf>
    <xf numFmtId="0" fontId="0" fillId="12" borderId="7" xfId="0" applyFill="1" applyBorder="1"/>
    <xf numFmtId="164" fontId="12" fillId="12" borderId="0" xfId="0" applyNumberFormat="1" applyFont="1" applyFill="1" applyProtection="1">
      <protection locked="0"/>
    </xf>
    <xf numFmtId="165" fontId="12" fillId="12" borderId="0" xfId="0" applyNumberFormat="1" applyFont="1" applyFill="1" applyProtection="1">
      <protection locked="0"/>
    </xf>
    <xf numFmtId="0" fontId="8" fillId="12" borderId="4" xfId="1" applyNumberFormat="1" applyFont="1" applyFill="1" applyBorder="1" applyAlignment="1">
      <alignment horizontal="right"/>
    </xf>
    <xf numFmtId="165" fontId="8" fillId="12" borderId="4" xfId="1" applyNumberFormat="1" applyFont="1" applyFill="1" applyBorder="1" applyAlignment="1">
      <alignment horizontal="right"/>
    </xf>
    <xf numFmtId="165" fontId="8" fillId="4" borderId="16" xfId="1" applyNumberFormat="1" applyFont="1" applyFill="1" applyBorder="1" applyAlignment="1">
      <alignment horizontal="right"/>
    </xf>
    <xf numFmtId="165" fontId="8" fillId="4" borderId="14" xfId="1" applyNumberFormat="1" applyFont="1" applyFill="1" applyBorder="1" applyAlignment="1">
      <alignment horizontal="right"/>
    </xf>
    <xf numFmtId="165" fontId="8" fillId="4" borderId="6" xfId="1" applyNumberFormat="1" applyFont="1" applyFill="1" applyBorder="1" applyAlignment="1">
      <alignment horizontal="right"/>
    </xf>
    <xf numFmtId="164" fontId="13" fillId="12" borderId="0" xfId="1" applyNumberFormat="1" applyFont="1" applyFill="1" applyBorder="1" applyAlignment="1">
      <alignment horizontal="left"/>
    </xf>
    <xf numFmtId="165" fontId="13" fillId="12" borderId="0" xfId="1" applyNumberFormat="1" applyFont="1" applyFill="1" applyBorder="1" applyAlignment="1">
      <alignment horizontal="left"/>
    </xf>
    <xf numFmtId="0" fontId="0" fillId="12" borderId="0" xfId="0" applyFill="1" applyAlignment="1" applyProtection="1">
      <alignment horizontal="left" indent="2"/>
      <protection locked="0"/>
    </xf>
    <xf numFmtId="0" fontId="0" fillId="12" borderId="0" xfId="0" applyFill="1" applyAlignment="1" applyProtection="1">
      <alignment horizontal="left"/>
      <protection locked="0"/>
    </xf>
    <xf numFmtId="164" fontId="0" fillId="12" borderId="0" xfId="1" applyNumberFormat="1" applyFont="1" applyFill="1" applyBorder="1" applyAlignment="1" applyProtection="1">
      <alignment horizontal="left"/>
      <protection locked="0"/>
    </xf>
    <xf numFmtId="165" fontId="0" fillId="12" borderId="0" xfId="1" applyNumberFormat="1" applyFont="1" applyFill="1" applyBorder="1" applyAlignment="1" applyProtection="1">
      <alignment horizontal="left"/>
      <protection locked="0"/>
    </xf>
    <xf numFmtId="0" fontId="0" fillId="12" borderId="0" xfId="0" applyFill="1" applyProtection="1">
      <protection locked="0"/>
    </xf>
    <xf numFmtId="0" fontId="0" fillId="12" borderId="7" xfId="0" applyFill="1" applyBorder="1" applyAlignment="1" applyProtection="1">
      <alignment horizontal="left" indent="2"/>
      <protection locked="0"/>
    </xf>
    <xf numFmtId="0" fontId="0" fillId="12" borderId="7" xfId="0" applyFill="1" applyBorder="1" applyAlignment="1" applyProtection="1">
      <alignment horizontal="left"/>
      <protection locked="0"/>
    </xf>
    <xf numFmtId="164" fontId="0" fillId="12" borderId="7" xfId="1" applyNumberFormat="1" applyFont="1" applyFill="1" applyBorder="1" applyAlignment="1" applyProtection="1">
      <alignment horizontal="left"/>
      <protection locked="0"/>
    </xf>
    <xf numFmtId="165" fontId="0" fillId="12" borderId="7" xfId="1" applyNumberFormat="1" applyFont="1" applyFill="1" applyBorder="1" applyAlignment="1" applyProtection="1">
      <alignment horizontal="left"/>
      <protection locked="0"/>
    </xf>
    <xf numFmtId="0" fontId="0" fillId="12" borderId="7" xfId="0" applyFill="1" applyBorder="1" applyProtection="1">
      <protection locked="0"/>
    </xf>
    <xf numFmtId="44" fontId="12" fillId="0" borderId="0" xfId="1" applyFont="1" applyFill="1" applyProtection="1"/>
    <xf numFmtId="164" fontId="0" fillId="12" borderId="0" xfId="0" applyNumberFormat="1" applyFill="1" applyProtection="1">
      <protection locked="0"/>
    </xf>
    <xf numFmtId="165" fontId="7" fillId="12" borderId="27" xfId="0" applyNumberFormat="1" applyFont="1" applyFill="1" applyBorder="1" applyProtection="1">
      <protection locked="0"/>
    </xf>
    <xf numFmtId="164" fontId="13" fillId="12" borderId="0" xfId="1" applyNumberFormat="1" applyFont="1" applyFill="1" applyBorder="1" applyAlignment="1" applyProtection="1">
      <alignment horizontal="left"/>
      <protection locked="0"/>
    </xf>
    <xf numFmtId="165" fontId="13" fillId="12" borderId="0" xfId="1" applyNumberFormat="1" applyFont="1" applyFill="1" applyBorder="1" applyAlignment="1" applyProtection="1">
      <alignment horizontal="left"/>
      <protection locked="0"/>
    </xf>
    <xf numFmtId="0" fontId="8" fillId="12" borderId="4" xfId="1" applyNumberFormat="1" applyFont="1" applyFill="1" applyBorder="1" applyAlignment="1" applyProtection="1">
      <alignment horizontal="right"/>
      <protection locked="0"/>
    </xf>
    <xf numFmtId="165" fontId="8" fillId="12" borderId="4" xfId="1" applyNumberFormat="1" applyFont="1" applyFill="1" applyBorder="1" applyAlignment="1" applyProtection="1">
      <alignment horizontal="right"/>
      <protection locked="0"/>
    </xf>
    <xf numFmtId="0" fontId="9" fillId="0" borderId="0" xfId="0" applyFont="1" applyAlignment="1">
      <alignment wrapText="1"/>
    </xf>
    <xf numFmtId="0" fontId="19" fillId="0" borderId="34" xfId="0" applyFont="1" applyBorder="1" applyAlignment="1">
      <alignment horizontal="right"/>
    </xf>
    <xf numFmtId="0" fontId="19" fillId="0" borderId="34" xfId="0" applyFont="1" applyBorder="1" applyAlignment="1">
      <alignment vertical="top"/>
    </xf>
    <xf numFmtId="0" fontId="19" fillId="0" borderId="34" xfId="0" applyFont="1" applyBorder="1" applyAlignment="1">
      <alignment horizontal="left" vertical="top"/>
    </xf>
    <xf numFmtId="0" fontId="0" fillId="0" borderId="34" xfId="0" applyBorder="1" applyAlignment="1">
      <alignment horizontal="left" vertical="top"/>
    </xf>
    <xf numFmtId="49" fontId="0" fillId="0" borderId="45" xfId="0" applyNumberFormat="1" applyBorder="1" applyAlignment="1">
      <alignment horizontal="left" vertical="top"/>
    </xf>
    <xf numFmtId="0" fontId="0" fillId="0" borderId="45" xfId="0" applyBorder="1" applyAlignment="1">
      <alignment horizontal="right" vertical="top"/>
    </xf>
    <xf numFmtId="0" fontId="0" fillId="0" borderId="45" xfId="0" applyBorder="1"/>
    <xf numFmtId="0" fontId="19" fillId="0" borderId="45" xfId="0" applyFont="1" applyBorder="1"/>
    <xf numFmtId="0" fontId="19" fillId="0" borderId="45" xfId="0" applyFont="1" applyBorder="1" applyAlignment="1">
      <alignment horizontal="right"/>
    </xf>
    <xf numFmtId="0" fontId="19" fillId="0" borderId="45" xfId="0" applyFont="1" applyBorder="1" applyAlignment="1">
      <alignment vertical="top"/>
    </xf>
    <xf numFmtId="0" fontId="0" fillId="0" borderId="47" xfId="0" applyBorder="1"/>
    <xf numFmtId="0" fontId="19" fillId="0" borderId="48" xfId="0" applyFont="1" applyBorder="1" applyAlignment="1">
      <alignment vertical="top"/>
    </xf>
    <xf numFmtId="0" fontId="16" fillId="0" borderId="0" xfId="5" applyFont="1" applyProtection="1"/>
    <xf numFmtId="0" fontId="12" fillId="0" borderId="0" xfId="0" applyFont="1"/>
    <xf numFmtId="0" fontId="2" fillId="4" borderId="2" xfId="4" applyFont="1" applyFill="1" applyBorder="1" applyAlignment="1" applyProtection="1">
      <alignment horizontal="left"/>
    </xf>
    <xf numFmtId="164" fontId="2" fillId="4" borderId="5" xfId="1" applyNumberFormat="1" applyFont="1" applyFill="1" applyBorder="1" applyAlignment="1" applyProtection="1">
      <alignment horizontal="left"/>
    </xf>
    <xf numFmtId="164" fontId="0" fillId="4" borderId="5" xfId="1" applyNumberFormat="1" applyFont="1" applyFill="1" applyBorder="1" applyAlignment="1" applyProtection="1">
      <alignment horizontal="left"/>
    </xf>
    <xf numFmtId="165" fontId="0" fillId="4" borderId="5" xfId="1" applyNumberFormat="1" applyFont="1" applyFill="1" applyBorder="1" applyAlignment="1" applyProtection="1">
      <alignment horizontal="left"/>
    </xf>
    <xf numFmtId="165" fontId="2" fillId="4" borderId="5" xfId="4" applyNumberFormat="1" applyFont="1" applyFill="1" applyBorder="1" applyAlignment="1" applyProtection="1">
      <alignment horizontal="left"/>
    </xf>
    <xf numFmtId="0" fontId="2" fillId="4" borderId="0" xfId="4" applyFont="1" applyFill="1" applyBorder="1" applyAlignment="1" applyProtection="1">
      <alignment horizontal="left"/>
    </xf>
    <xf numFmtId="0" fontId="2" fillId="4" borderId="3" xfId="4" applyFont="1" applyFill="1" applyBorder="1" applyAlignment="1" applyProtection="1">
      <alignment horizontal="left"/>
    </xf>
    <xf numFmtId="164" fontId="2" fillId="4" borderId="3" xfId="1" applyNumberFormat="1" applyFont="1" applyFill="1" applyBorder="1" applyAlignment="1" applyProtection="1">
      <alignment horizontal="left"/>
    </xf>
    <xf numFmtId="164" fontId="0" fillId="4" borderId="3" xfId="1" applyNumberFormat="1" applyFont="1" applyFill="1" applyBorder="1" applyAlignment="1" applyProtection="1">
      <alignment horizontal="left"/>
    </xf>
    <xf numFmtId="165" fontId="0" fillId="4" borderId="13" xfId="1" applyNumberFormat="1" applyFont="1" applyFill="1" applyBorder="1" applyAlignment="1" applyProtection="1">
      <alignment horizontal="left"/>
    </xf>
    <xf numFmtId="165" fontId="2" fillId="4" borderId="3" xfId="4" applyNumberFormat="1" applyFont="1" applyFill="1" applyBorder="1" applyAlignment="1" applyProtection="1">
      <alignment horizontal="left"/>
    </xf>
    <xf numFmtId="165" fontId="2" fillId="4" borderId="7" xfId="4" applyNumberFormat="1" applyFont="1" applyFill="1" applyBorder="1" applyAlignment="1" applyProtection="1">
      <alignment horizontal="left"/>
    </xf>
    <xf numFmtId="164" fontId="2" fillId="4" borderId="2" xfId="4" applyNumberFormat="1" applyFont="1" applyFill="1" applyBorder="1" applyAlignment="1">
      <alignment horizontal="left"/>
    </xf>
    <xf numFmtId="165" fontId="2" fillId="4" borderId="2" xfId="4" applyNumberFormat="1" applyFont="1" applyFill="1" applyBorder="1" applyAlignment="1">
      <alignment horizontal="left"/>
    </xf>
    <xf numFmtId="0" fontId="2" fillId="4" borderId="2" xfId="4" applyFont="1" applyFill="1" applyBorder="1"/>
    <xf numFmtId="0" fontId="2" fillId="4" borderId="51" xfId="4" applyFont="1" applyFill="1" applyBorder="1"/>
    <xf numFmtId="164" fontId="2" fillId="4" borderId="51" xfId="4" applyNumberFormat="1" applyFont="1" applyFill="1" applyBorder="1" applyAlignment="1">
      <alignment horizontal="left"/>
    </xf>
    <xf numFmtId="165" fontId="2" fillId="4" borderId="51" xfId="4" applyNumberFormat="1" applyFont="1" applyFill="1" applyBorder="1" applyAlignment="1">
      <alignment horizontal="left"/>
    </xf>
    <xf numFmtId="0" fontId="0" fillId="12" borderId="0" xfId="0" applyFill="1" applyAlignment="1">
      <alignment horizontal="left" wrapText="1"/>
    </xf>
    <xf numFmtId="0" fontId="15" fillId="9" borderId="12" xfId="0" applyFont="1" applyFill="1" applyBorder="1" applyAlignment="1">
      <alignment wrapText="1"/>
    </xf>
    <xf numFmtId="0" fontId="15" fillId="9" borderId="0" xfId="0" applyFont="1" applyFill="1" applyAlignment="1">
      <alignment wrapText="1"/>
    </xf>
    <xf numFmtId="44" fontId="0" fillId="0" borderId="0" xfId="1" applyFont="1" applyProtection="1"/>
    <xf numFmtId="44" fontId="0" fillId="0" borderId="0" xfId="1" applyFont="1" applyFill="1" applyProtection="1"/>
    <xf numFmtId="0" fontId="2" fillId="4" borderId="3" xfId="4" applyFont="1" applyFill="1" applyBorder="1" applyProtection="1"/>
    <xf numFmtId="0" fontId="8" fillId="4" borderId="0" xfId="2" applyFont="1" applyFill="1" applyBorder="1" applyAlignment="1" applyProtection="1">
      <alignment wrapText="1"/>
    </xf>
    <xf numFmtId="0" fontId="8" fillId="4" borderId="0" xfId="2" applyFont="1" applyFill="1" applyAlignment="1" applyProtection="1">
      <alignment wrapText="1"/>
    </xf>
    <xf numFmtId="165" fontId="0" fillId="4" borderId="0" xfId="1" applyNumberFormat="1" applyFont="1" applyFill="1" applyAlignment="1" applyProtection="1">
      <alignment horizontal="left"/>
    </xf>
    <xf numFmtId="0" fontId="2" fillId="0" borderId="0" xfId="4" applyFont="1" applyFill="1" applyBorder="1" applyAlignment="1" applyProtection="1">
      <alignment horizontal="left"/>
    </xf>
    <xf numFmtId="164" fontId="2" fillId="0" borderId="0" xfId="1" applyNumberFormat="1" applyFont="1" applyFill="1" applyBorder="1" applyAlignment="1" applyProtection="1">
      <alignment horizontal="left"/>
    </xf>
    <xf numFmtId="164" fontId="0" fillId="0" borderId="0" xfId="1" applyNumberFormat="1" applyFont="1" applyFill="1" applyBorder="1" applyAlignment="1" applyProtection="1">
      <alignment horizontal="left"/>
    </xf>
    <xf numFmtId="0" fontId="2" fillId="0" borderId="0" xfId="4" applyFont="1" applyFill="1" applyBorder="1" applyProtection="1"/>
    <xf numFmtId="164" fontId="2" fillId="0" borderId="0" xfId="4" applyNumberFormat="1" applyFont="1" applyFill="1" applyBorder="1" applyAlignment="1" applyProtection="1">
      <alignment horizontal="left"/>
    </xf>
    <xf numFmtId="44" fontId="0" fillId="0" borderId="0" xfId="1" applyFont="1" applyAlignment="1" applyProtection="1">
      <alignment horizontal="right"/>
    </xf>
    <xf numFmtId="165" fontId="8" fillId="4" borderId="16" xfId="1" applyNumberFormat="1" applyFont="1" applyFill="1" applyBorder="1" applyAlignment="1" applyProtection="1">
      <alignment horizontal="right"/>
    </xf>
    <xf numFmtId="44" fontId="1" fillId="0" borderId="0" xfId="1" applyFont="1" applyAlignment="1" applyProtection="1">
      <alignment horizontal="right"/>
    </xf>
    <xf numFmtId="165" fontId="8" fillId="4" borderId="6" xfId="1" applyNumberFormat="1" applyFont="1" applyFill="1" applyBorder="1" applyAlignment="1" applyProtection="1">
      <alignment horizontal="right"/>
    </xf>
    <xf numFmtId="165" fontId="8" fillId="4" borderId="14" xfId="1" applyNumberFormat="1" applyFont="1" applyFill="1" applyBorder="1" applyAlignment="1" applyProtection="1">
      <alignment horizontal="right"/>
    </xf>
    <xf numFmtId="44" fontId="1" fillId="0" borderId="0" xfId="1" applyFont="1" applyFill="1" applyAlignment="1" applyProtection="1">
      <alignment horizontal="right"/>
    </xf>
    <xf numFmtId="165" fontId="5" fillId="0" borderId="0" xfId="1" applyNumberFormat="1" applyFont="1" applyFill="1" applyBorder="1" applyAlignment="1" applyProtection="1">
      <alignment horizontal="right"/>
    </xf>
    <xf numFmtId="0" fontId="2" fillId="0" borderId="0" xfId="4" applyFont="1" applyFill="1" applyBorder="1" applyAlignment="1" applyProtection="1">
      <alignment horizontal="center" vertical="center"/>
    </xf>
    <xf numFmtId="0" fontId="2" fillId="4" borderId="2" xfId="4" applyFont="1" applyFill="1" applyBorder="1" applyAlignment="1" applyProtection="1">
      <alignment horizontal="center" vertical="center"/>
    </xf>
    <xf numFmtId="0" fontId="2" fillId="4" borderId="0" xfId="4" applyFont="1" applyFill="1" applyBorder="1" applyAlignment="1" applyProtection="1">
      <alignment horizontal="center" vertical="center"/>
    </xf>
    <xf numFmtId="165" fontId="2" fillId="4" borderId="13" xfId="4" applyNumberFormat="1" applyFont="1" applyFill="1" applyBorder="1" applyAlignment="1" applyProtection="1">
      <alignment horizontal="left"/>
    </xf>
    <xf numFmtId="0" fontId="2" fillId="4" borderId="3" xfId="4" applyFont="1" applyFill="1" applyBorder="1" applyAlignment="1" applyProtection="1">
      <alignment horizontal="center" vertical="center"/>
    </xf>
    <xf numFmtId="164" fontId="2" fillId="4" borderId="13" xfId="4" applyNumberFormat="1" applyFont="1" applyFill="1" applyBorder="1" applyAlignment="1" applyProtection="1">
      <alignment horizontal="left"/>
    </xf>
    <xf numFmtId="0" fontId="14" fillId="0" borderId="0" xfId="0" applyFont="1" applyAlignment="1">
      <alignment wrapText="1"/>
    </xf>
    <xf numFmtId="0" fontId="12" fillId="0" borderId="0" xfId="0" applyFont="1" applyAlignment="1">
      <alignment horizontal="left" indent="1"/>
    </xf>
    <xf numFmtId="0" fontId="18" fillId="0" borderId="0" xfId="0" applyFont="1"/>
    <xf numFmtId="0" fontId="12" fillId="4" borderId="12" xfId="0" applyFont="1" applyFill="1" applyBorder="1"/>
    <xf numFmtId="0" fontId="12" fillId="4" borderId="0" xfId="0" applyFont="1" applyFill="1"/>
    <xf numFmtId="165" fontId="12" fillId="4" borderId="0" xfId="0" applyNumberFormat="1" applyFont="1" applyFill="1"/>
    <xf numFmtId="165" fontId="12" fillId="4" borderId="27" xfId="0" applyNumberFormat="1" applyFont="1" applyFill="1" applyBorder="1"/>
    <xf numFmtId="164" fontId="4" fillId="4" borderId="13" xfId="0" applyNumberFormat="1" applyFont="1" applyFill="1" applyBorder="1"/>
    <xf numFmtId="164" fontId="12" fillId="4" borderId="13" xfId="0" applyNumberFormat="1" applyFont="1" applyFill="1" applyBorder="1"/>
    <xf numFmtId="165" fontId="12" fillId="4" borderId="13" xfId="0" applyNumberFormat="1" applyFont="1" applyFill="1" applyBorder="1"/>
    <xf numFmtId="165" fontId="16" fillId="4" borderId="17" xfId="0" applyNumberFormat="1" applyFont="1" applyFill="1" applyBorder="1"/>
    <xf numFmtId="164" fontId="4" fillId="0" borderId="0" xfId="0" applyNumberFormat="1" applyFont="1"/>
    <xf numFmtId="164" fontId="12" fillId="0" borderId="0" xfId="0" applyNumberFormat="1" applyFont="1"/>
    <xf numFmtId="165" fontId="12" fillId="0" borderId="0" xfId="0" applyNumberFormat="1" applyFont="1"/>
    <xf numFmtId="165" fontId="16" fillId="0" borderId="0" xfId="0" applyNumberFormat="1" applyFont="1"/>
    <xf numFmtId="164" fontId="0" fillId="12" borderId="0" xfId="0" applyNumberFormat="1" applyFill="1"/>
    <xf numFmtId="165" fontId="7" fillId="12" borderId="27" xfId="0" applyNumberFormat="1" applyFont="1" applyFill="1" applyBorder="1"/>
    <xf numFmtId="164" fontId="4" fillId="4" borderId="30" xfId="0" applyNumberFormat="1" applyFont="1" applyFill="1" applyBorder="1"/>
    <xf numFmtId="164" fontId="12" fillId="4" borderId="5" xfId="0" applyNumberFormat="1" applyFont="1" applyFill="1" applyBorder="1"/>
    <xf numFmtId="165" fontId="16" fillId="4" borderId="31" xfId="0" applyNumberFormat="1" applyFont="1" applyFill="1" applyBorder="1"/>
    <xf numFmtId="165" fontId="16" fillId="4" borderId="29" xfId="0" applyNumberFormat="1" applyFont="1" applyFill="1" applyBorder="1"/>
    <xf numFmtId="0" fontId="15" fillId="0" borderId="12" xfId="0" applyFont="1" applyBorder="1" applyAlignment="1">
      <alignment wrapText="1"/>
    </xf>
    <xf numFmtId="0" fontId="15" fillId="0" borderId="0" xfId="0" applyFont="1" applyAlignment="1">
      <alignment wrapText="1"/>
    </xf>
    <xf numFmtId="0" fontId="15" fillId="0" borderId="9" xfId="0" applyFont="1" applyBorder="1" applyAlignment="1">
      <alignment wrapText="1"/>
    </xf>
    <xf numFmtId="164" fontId="12" fillId="4" borderId="27" xfId="0" applyNumberFormat="1" applyFont="1" applyFill="1" applyBorder="1"/>
    <xf numFmtId="164" fontId="12" fillId="12" borderId="0" xfId="0" applyNumberFormat="1" applyFont="1" applyFill="1"/>
    <xf numFmtId="165" fontId="12" fillId="12" borderId="0" xfId="0" applyNumberFormat="1" applyFont="1" applyFill="1"/>
    <xf numFmtId="165" fontId="16" fillId="14" borderId="29" xfId="0" applyNumberFormat="1" applyFont="1" applyFill="1" applyBorder="1"/>
    <xf numFmtId="165" fontId="16" fillId="15" borderId="17" xfId="0" applyNumberFormat="1" applyFont="1" applyFill="1" applyBorder="1"/>
    <xf numFmtId="44" fontId="5" fillId="16" borderId="7" xfId="1" applyFont="1" applyFill="1" applyBorder="1" applyAlignment="1"/>
    <xf numFmtId="0" fontId="0" fillId="0" borderId="0" xfId="0"/>
    <xf numFmtId="0" fontId="0" fillId="0" borderId="45" xfId="0" applyBorder="1"/>
    <xf numFmtId="0" fontId="0" fillId="0" borderId="34" xfId="0" applyBorder="1"/>
    <xf numFmtId="0" fontId="0" fillId="0" borderId="46" xfId="0" applyBorder="1"/>
    <xf numFmtId="0" fontId="0" fillId="0" borderId="43" xfId="0" applyBorder="1"/>
    <xf numFmtId="0" fontId="0" fillId="0" borderId="33" xfId="0" applyBorder="1"/>
    <xf numFmtId="0" fontId="0" fillId="0" borderId="44" xfId="0" applyBorder="1"/>
    <xf numFmtId="0" fontId="0" fillId="0" borderId="35" xfId="0" applyBorder="1"/>
    <xf numFmtId="0" fontId="0" fillId="0" borderId="34" xfId="0" applyBorder="1" applyAlignment="1">
      <alignment wrapText="1"/>
    </xf>
    <xf numFmtId="0" fontId="0" fillId="0" borderId="46" xfId="0" applyBorder="1" applyAlignment="1">
      <alignment wrapText="1"/>
    </xf>
    <xf numFmtId="0" fontId="2" fillId="0" borderId="45" xfId="0" applyFont="1" applyBorder="1"/>
    <xf numFmtId="0" fontId="2" fillId="0" borderId="34" xfId="0" applyFont="1" applyBorder="1"/>
    <xf numFmtId="0" fontId="2" fillId="0" borderId="46" xfId="0" applyFont="1" applyBorder="1"/>
    <xf numFmtId="0" fontId="0" fillId="0" borderId="45" xfId="0" applyBorder="1" applyAlignment="1">
      <alignment wrapText="1"/>
    </xf>
    <xf numFmtId="0" fontId="7" fillId="0" borderId="34" xfId="5" applyBorder="1"/>
    <xf numFmtId="0" fontId="7" fillId="0" borderId="46" xfId="5" applyBorder="1"/>
    <xf numFmtId="0" fontId="7" fillId="0" borderId="48" xfId="5" applyBorder="1"/>
    <xf numFmtId="0" fontId="7" fillId="0" borderId="49" xfId="5" applyBorder="1"/>
    <xf numFmtId="0" fontId="14" fillId="7" borderId="45" xfId="0" applyFont="1" applyFill="1" applyBorder="1" applyAlignment="1">
      <alignment wrapText="1"/>
    </xf>
    <xf numFmtId="0" fontId="14" fillId="7" borderId="34" xfId="0" applyFont="1" applyFill="1" applyBorder="1" applyAlignment="1">
      <alignment wrapText="1"/>
    </xf>
    <xf numFmtId="0" fontId="14" fillId="7" borderId="46" xfId="0" applyFont="1" applyFill="1" applyBorder="1" applyAlignment="1">
      <alignment wrapText="1"/>
    </xf>
    <xf numFmtId="0" fontId="0" fillId="0" borderId="35" xfId="0" applyBorder="1" applyAlignment="1">
      <alignment wrapText="1"/>
    </xf>
    <xf numFmtId="0" fontId="0" fillId="0" borderId="33" xfId="0" applyBorder="1" applyAlignment="1">
      <alignment wrapText="1"/>
    </xf>
    <xf numFmtId="0" fontId="0" fillId="0" borderId="44" xfId="0" applyBorder="1" applyAlignment="1">
      <alignment wrapText="1"/>
    </xf>
    <xf numFmtId="0" fontId="7" fillId="0" borderId="35" xfId="5" applyBorder="1" applyAlignment="1">
      <alignment wrapText="1"/>
    </xf>
    <xf numFmtId="0" fontId="7" fillId="0" borderId="33" xfId="5" applyBorder="1" applyAlignment="1">
      <alignment wrapText="1"/>
    </xf>
    <xf numFmtId="0" fontId="7" fillId="0" borderId="44" xfId="5" applyBorder="1" applyAlignment="1">
      <alignment wrapText="1"/>
    </xf>
    <xf numFmtId="0" fontId="14" fillId="7" borderId="39" xfId="0" applyFont="1" applyFill="1" applyBorder="1" applyAlignment="1">
      <alignment wrapText="1"/>
    </xf>
    <xf numFmtId="0" fontId="14" fillId="7" borderId="0" xfId="0" applyFont="1" applyFill="1" applyAlignment="1">
      <alignment wrapText="1"/>
    </xf>
    <xf numFmtId="0" fontId="14" fillId="7" borderId="40" xfId="0" applyFont="1" applyFill="1" applyBorder="1" applyAlignment="1">
      <alignment wrapText="1"/>
    </xf>
    <xf numFmtId="0" fontId="10" fillId="8" borderId="45" xfId="0" applyFont="1" applyFill="1" applyBorder="1"/>
    <xf numFmtId="0" fontId="10" fillId="8" borderId="34" xfId="0" applyFont="1" applyFill="1" applyBorder="1"/>
    <xf numFmtId="0" fontId="10" fillId="8" borderId="46" xfId="0" applyFont="1" applyFill="1" applyBorder="1"/>
    <xf numFmtId="0" fontId="0" fillId="0" borderId="43" xfId="0" applyBorder="1" applyAlignment="1">
      <alignment wrapText="1"/>
    </xf>
    <xf numFmtId="0" fontId="0" fillId="0" borderId="39" xfId="0" applyBorder="1"/>
    <xf numFmtId="0" fontId="0" fillId="0" borderId="40" xfId="0" applyBorder="1"/>
    <xf numFmtId="49" fontId="0" fillId="0" borderId="45" xfId="0" applyNumberFormat="1" applyBorder="1" applyAlignment="1">
      <alignment vertical="top"/>
    </xf>
    <xf numFmtId="49" fontId="0" fillId="0" borderId="34" xfId="0" applyNumberFormat="1" applyBorder="1" applyAlignment="1">
      <alignment vertical="top"/>
    </xf>
    <xf numFmtId="49" fontId="0" fillId="0" borderId="46" xfId="0" applyNumberFormat="1" applyBorder="1" applyAlignment="1">
      <alignment vertical="top"/>
    </xf>
    <xf numFmtId="0" fontId="0" fillId="0" borderId="41" xfId="0" applyBorder="1"/>
    <xf numFmtId="0" fontId="0" fillId="0" borderId="32" xfId="0" applyBorder="1"/>
    <xf numFmtId="0" fontId="0" fillId="0" borderId="42" xfId="0" applyBorder="1"/>
    <xf numFmtId="0" fontId="0" fillId="0" borderId="41" xfId="0" applyBorder="1" applyAlignment="1">
      <alignment wrapText="1"/>
    </xf>
    <xf numFmtId="0" fontId="0" fillId="0" borderId="32" xfId="0" applyBorder="1" applyAlignment="1">
      <alignment wrapText="1"/>
    </xf>
    <xf numFmtId="0" fontId="0" fillId="0" borderId="42" xfId="0" applyBorder="1" applyAlignment="1">
      <alignment wrapText="1"/>
    </xf>
    <xf numFmtId="0" fontId="14" fillId="10" borderId="36" xfId="0" applyFont="1" applyFill="1" applyBorder="1" applyAlignment="1">
      <alignment wrapText="1"/>
    </xf>
    <xf numFmtId="0" fontId="14" fillId="10" borderId="37" xfId="0" applyFont="1" applyFill="1" applyBorder="1" applyAlignment="1">
      <alignment wrapText="1"/>
    </xf>
    <xf numFmtId="0" fontId="14" fillId="10" borderId="38" xfId="0" applyFont="1" applyFill="1" applyBorder="1" applyAlignment="1">
      <alignment wrapText="1"/>
    </xf>
    <xf numFmtId="0" fontId="20" fillId="0" borderId="52" xfId="0" applyFont="1" applyBorder="1" applyAlignment="1">
      <alignment wrapText="1"/>
    </xf>
    <xf numFmtId="0" fontId="20" fillId="0" borderId="50" xfId="0" applyFont="1" applyBorder="1" applyAlignment="1">
      <alignment wrapText="1"/>
    </xf>
    <xf numFmtId="0" fontId="20" fillId="0" borderId="53" xfId="0" applyFont="1" applyBorder="1" applyAlignment="1">
      <alignment wrapText="1"/>
    </xf>
    <xf numFmtId="0" fontId="7" fillId="0" borderId="52" xfId="5" applyBorder="1" applyAlignment="1">
      <alignment wrapText="1"/>
    </xf>
    <xf numFmtId="0" fontId="7" fillId="0" borderId="50" xfId="5" applyBorder="1" applyAlignment="1">
      <alignment wrapText="1"/>
    </xf>
    <xf numFmtId="0" fontId="7" fillId="0" borderId="53" xfId="5" applyBorder="1" applyAlignment="1">
      <alignment wrapText="1"/>
    </xf>
    <xf numFmtId="0" fontId="0" fillId="0" borderId="52" xfId="0" applyBorder="1"/>
    <xf numFmtId="0" fontId="0" fillId="0" borderId="50" xfId="0" applyBorder="1"/>
    <xf numFmtId="0" fontId="0" fillId="0" borderId="53" xfId="0" applyBorder="1"/>
    <xf numFmtId="0" fontId="12" fillId="0" borderId="39" xfId="0" applyFont="1" applyBorder="1"/>
    <xf numFmtId="0" fontId="12" fillId="0" borderId="0" xfId="0" applyFont="1"/>
    <xf numFmtId="0" fontId="0" fillId="0" borderId="47" xfId="0" applyBorder="1" applyAlignment="1">
      <alignment wrapText="1"/>
    </xf>
    <xf numFmtId="0" fontId="0" fillId="0" borderId="48" xfId="0" applyBorder="1" applyAlignment="1">
      <alignment wrapText="1"/>
    </xf>
    <xf numFmtId="0" fontId="0" fillId="0" borderId="49" xfId="0" applyBorder="1" applyAlignment="1">
      <alignment wrapText="1"/>
    </xf>
    <xf numFmtId="0" fontId="7" fillId="0" borderId="43" xfId="5" applyBorder="1"/>
    <xf numFmtId="0" fontId="7" fillId="0" borderId="33" xfId="5" applyBorder="1"/>
    <xf numFmtId="0" fontId="7" fillId="0" borderId="44" xfId="5" applyBorder="1"/>
    <xf numFmtId="0" fontId="14" fillId="10" borderId="0" xfId="0" applyFont="1" applyFill="1" applyAlignment="1">
      <alignment wrapText="1"/>
    </xf>
    <xf numFmtId="0" fontId="12" fillId="0" borderId="0" xfId="0" applyFont="1" applyAlignment="1">
      <alignment vertical="center" wrapText="1"/>
    </xf>
    <xf numFmtId="0" fontId="10" fillId="8" borderId="0" xfId="0" applyFont="1" applyFill="1" applyAlignment="1">
      <alignment wrapText="1"/>
    </xf>
    <xf numFmtId="0" fontId="4" fillId="0" borderId="22" xfId="3" applyFont="1" applyBorder="1" applyAlignment="1"/>
    <xf numFmtId="0" fontId="15" fillId="12" borderId="21" xfId="3" applyFont="1" applyFill="1" applyBorder="1" applyAlignment="1">
      <alignment horizontal="center" vertical="center" wrapText="1"/>
    </xf>
    <xf numFmtId="0" fontId="16" fillId="0" borderId="0" xfId="5" applyFont="1" applyProtection="1"/>
    <xf numFmtId="0" fontId="4" fillId="0" borderId="23" xfId="3" applyFont="1" applyBorder="1" applyAlignment="1"/>
    <xf numFmtId="0" fontId="15" fillId="12" borderId="20" xfId="3" applyFont="1" applyFill="1" applyBorder="1" applyAlignment="1">
      <alignment horizontal="center" vertical="center" wrapText="1"/>
    </xf>
    <xf numFmtId="0" fontId="4" fillId="0" borderId="23" xfId="3" applyFont="1" applyBorder="1" applyAlignment="1">
      <alignment horizontal="left"/>
    </xf>
    <xf numFmtId="0" fontId="4" fillId="9" borderId="0" xfId="0" applyFont="1" applyFill="1"/>
    <xf numFmtId="0" fontId="12" fillId="12" borderId="12" xfId="0" applyFont="1" applyFill="1" applyBorder="1" applyAlignment="1">
      <alignment vertical="top" wrapText="1"/>
    </xf>
    <xf numFmtId="0" fontId="12" fillId="12" borderId="0" xfId="0" applyFont="1" applyFill="1" applyAlignment="1">
      <alignment vertical="top" wrapText="1"/>
    </xf>
    <xf numFmtId="0" fontId="12" fillId="12" borderId="9" xfId="0" applyFont="1" applyFill="1" applyBorder="1" applyAlignment="1">
      <alignment vertical="top" wrapText="1"/>
    </xf>
    <xf numFmtId="0" fontId="12" fillId="12" borderId="11" xfId="0" applyFont="1" applyFill="1" applyBorder="1" applyAlignment="1">
      <alignment vertical="top" wrapText="1"/>
    </xf>
    <xf numFmtId="0" fontId="12" fillId="12" borderId="7" xfId="0" applyFont="1" applyFill="1" applyBorder="1" applyAlignment="1">
      <alignment vertical="top" wrapText="1"/>
    </xf>
    <xf numFmtId="0" fontId="12" fillId="12" borderId="10" xfId="0" applyFont="1" applyFill="1" applyBorder="1" applyAlignment="1">
      <alignment vertical="top" wrapText="1"/>
    </xf>
    <xf numFmtId="0" fontId="15" fillId="12" borderId="24" xfId="3" applyFont="1" applyFill="1" applyBorder="1" applyAlignment="1">
      <alignment horizontal="center" vertical="center" wrapText="1"/>
    </xf>
    <xf numFmtId="0" fontId="14" fillId="6" borderId="7" xfId="0" applyFont="1" applyFill="1" applyBorder="1" applyAlignment="1">
      <alignment horizontal="left" wrapText="1"/>
    </xf>
    <xf numFmtId="0" fontId="12" fillId="0" borderId="2" xfId="0" applyFont="1" applyBorder="1" applyAlignment="1">
      <alignment vertical="center" wrapText="1"/>
    </xf>
    <xf numFmtId="164" fontId="12" fillId="0" borderId="0" xfId="0" applyNumberFormat="1" applyFont="1" applyAlignment="1">
      <alignment wrapText="1"/>
    </xf>
    <xf numFmtId="164" fontId="4" fillId="4" borderId="13" xfId="0" applyNumberFormat="1" applyFont="1" applyFill="1" applyBorder="1"/>
    <xf numFmtId="0" fontId="17" fillId="5" borderId="7" xfId="0" applyFont="1" applyFill="1" applyBorder="1" applyAlignment="1">
      <alignment horizontal="left" wrapText="1"/>
    </xf>
    <xf numFmtId="0" fontId="5" fillId="16" borderId="7" xfId="0" applyFont="1" applyFill="1" applyBorder="1" applyAlignment="1">
      <alignment wrapText="1"/>
    </xf>
    <xf numFmtId="0" fontId="2" fillId="4" borderId="2" xfId="4" applyFont="1" applyFill="1" applyBorder="1" applyAlignment="1">
      <alignment horizontal="center" vertical="center"/>
    </xf>
    <xf numFmtId="0" fontId="2" fillId="4" borderId="0" xfId="4" applyFont="1" applyFill="1" applyBorder="1" applyAlignment="1">
      <alignment horizontal="center" vertical="center"/>
    </xf>
    <xf numFmtId="0" fontId="2" fillId="4" borderId="3" xfId="4" applyFont="1" applyFill="1" applyBorder="1" applyAlignment="1">
      <alignment horizontal="center" vertical="center"/>
    </xf>
    <xf numFmtId="0" fontId="11" fillId="7" borderId="0" xfId="0" applyFont="1" applyFill="1" applyAlignment="1">
      <alignment wrapText="1"/>
    </xf>
    <xf numFmtId="0" fontId="5" fillId="5" borderId="0" xfId="0" applyFont="1" applyFill="1" applyAlignment="1">
      <alignment wrapText="1"/>
    </xf>
    <xf numFmtId="0" fontId="2" fillId="0" borderId="20" xfId="3" applyBorder="1" applyAlignment="1">
      <alignment wrapText="1"/>
    </xf>
    <xf numFmtId="0" fontId="8" fillId="12" borderId="20" xfId="3" applyFont="1" applyFill="1" applyBorder="1" applyAlignment="1">
      <alignment horizontal="center" vertical="center"/>
    </xf>
    <xf numFmtId="0" fontId="11" fillId="6" borderId="0" xfId="0" applyFont="1" applyFill="1" applyAlignment="1">
      <alignment horizontal="left" wrapText="1"/>
    </xf>
    <xf numFmtId="0" fontId="9" fillId="0" borderId="0" xfId="0" applyFont="1" applyAlignment="1">
      <alignment horizontal="left" vertical="top" wrapText="1"/>
    </xf>
    <xf numFmtId="0" fontId="8" fillId="13" borderId="0" xfId="0" applyFont="1" applyFill="1" applyAlignment="1">
      <alignment horizontal="left" wrapText="1"/>
    </xf>
    <xf numFmtId="0" fontId="5" fillId="8" borderId="0" xfId="0" applyFont="1" applyFill="1" applyAlignment="1">
      <alignment wrapText="1"/>
    </xf>
    <xf numFmtId="0" fontId="9" fillId="0" borderId="0" xfId="0" applyFont="1" applyAlignment="1">
      <alignment wrapText="1"/>
    </xf>
    <xf numFmtId="0" fontId="10" fillId="0" borderId="0" xfId="0" applyFont="1" applyAlignment="1">
      <alignment wrapText="1"/>
    </xf>
    <xf numFmtId="0" fontId="2" fillId="0" borderId="25" xfId="3" applyBorder="1" applyAlignment="1"/>
    <xf numFmtId="0" fontId="8" fillId="12" borderId="25" xfId="3" applyFont="1" applyFill="1" applyBorder="1" applyAlignment="1">
      <alignment horizontal="center" vertical="center"/>
    </xf>
    <xf numFmtId="0" fontId="8" fillId="12" borderId="0" xfId="3" applyFont="1" applyFill="1" applyBorder="1" applyAlignment="1">
      <alignment horizontal="center" vertical="center"/>
    </xf>
    <xf numFmtId="0" fontId="2" fillId="0" borderId="20" xfId="3" applyBorder="1" applyAlignment="1">
      <alignment horizontal="left"/>
    </xf>
    <xf numFmtId="0" fontId="2" fillId="0" borderId="20" xfId="3" applyBorder="1" applyAlignment="1">
      <alignment horizontal="left" indent="1"/>
    </xf>
    <xf numFmtId="0" fontId="11" fillId="11" borderId="0" xfId="0" applyFont="1" applyFill="1" applyAlignment="1">
      <alignment wrapText="1"/>
    </xf>
    <xf numFmtId="0" fontId="5" fillId="8" borderId="7" xfId="0" applyFont="1" applyFill="1" applyBorder="1" applyAlignment="1">
      <alignment wrapText="1"/>
    </xf>
    <xf numFmtId="0" fontId="2" fillId="0" borderId="0" xfId="3" applyBorder="1" applyAlignment="1">
      <alignment horizontal="left"/>
    </xf>
    <xf numFmtId="0" fontId="8" fillId="12" borderId="21" xfId="3" applyFont="1" applyFill="1" applyBorder="1" applyAlignment="1">
      <alignment horizontal="center" vertical="center" wrapText="1"/>
    </xf>
    <xf numFmtId="0" fontId="2" fillId="0" borderId="28" xfId="3" applyBorder="1" applyAlignment="1">
      <alignment horizontal="left" wrapText="1"/>
    </xf>
    <xf numFmtId="0" fontId="8" fillId="4" borderId="28" xfId="3" applyFont="1" applyFill="1" applyBorder="1" applyAlignment="1">
      <alignment horizontal="center" vertical="center"/>
    </xf>
    <xf numFmtId="0" fontId="9" fillId="0" borderId="0" xfId="0" applyFont="1" applyAlignment="1">
      <alignment horizontal="left" wrapText="1"/>
    </xf>
    <xf numFmtId="0" fontId="12" fillId="12" borderId="12" xfId="0" applyFont="1" applyFill="1" applyBorder="1" applyAlignment="1" applyProtection="1">
      <alignment horizontal="left" vertical="top" wrapText="1"/>
      <protection locked="0"/>
    </xf>
    <xf numFmtId="0" fontId="12" fillId="12" borderId="0" xfId="0" applyFont="1" applyFill="1" applyAlignment="1" applyProtection="1">
      <alignment horizontal="left" vertical="top" wrapText="1"/>
      <protection locked="0"/>
    </xf>
    <xf numFmtId="0" fontId="12" fillId="12" borderId="9" xfId="0" applyFont="1" applyFill="1" applyBorder="1" applyAlignment="1" applyProtection="1">
      <alignment horizontal="left" vertical="top" wrapText="1"/>
      <protection locked="0"/>
    </xf>
    <xf numFmtId="0" fontId="12" fillId="12" borderId="11" xfId="0" applyFont="1" applyFill="1" applyBorder="1" applyAlignment="1" applyProtection="1">
      <alignment horizontal="left" vertical="top" wrapText="1"/>
      <protection locked="0"/>
    </xf>
    <xf numFmtId="0" fontId="12" fillId="12" borderId="7" xfId="0" applyFont="1" applyFill="1" applyBorder="1" applyAlignment="1" applyProtection="1">
      <alignment horizontal="left" vertical="top" wrapText="1"/>
      <protection locked="0"/>
    </xf>
    <xf numFmtId="0" fontId="12" fillId="12" borderId="10" xfId="0" applyFont="1" applyFill="1" applyBorder="1" applyAlignment="1" applyProtection="1">
      <alignment horizontal="left" vertical="top" wrapText="1"/>
      <protection locked="0"/>
    </xf>
    <xf numFmtId="0" fontId="15" fillId="12" borderId="24" xfId="3" applyFont="1" applyFill="1" applyBorder="1" applyAlignment="1" applyProtection="1">
      <alignment horizontal="center" vertical="center" wrapText="1"/>
      <protection locked="0"/>
    </xf>
    <xf numFmtId="0" fontId="15" fillId="12" borderId="20" xfId="3" applyFont="1" applyFill="1" applyBorder="1" applyAlignment="1" applyProtection="1">
      <alignment horizontal="center" vertical="center" wrapText="1"/>
      <protection locked="0"/>
    </xf>
    <xf numFmtId="0" fontId="15" fillId="12" borderId="21" xfId="3" applyFont="1" applyFill="1" applyBorder="1" applyAlignment="1" applyProtection="1">
      <alignment horizontal="center" vertical="center" wrapText="1"/>
      <protection locked="0"/>
    </xf>
    <xf numFmtId="0" fontId="2" fillId="4" borderId="2" xfId="4" applyFont="1" applyFill="1" applyBorder="1" applyAlignment="1" applyProtection="1">
      <alignment horizontal="center" vertical="center"/>
    </xf>
    <xf numFmtId="0" fontId="2" fillId="4" borderId="0" xfId="4" applyFont="1" applyFill="1" applyBorder="1" applyAlignment="1" applyProtection="1">
      <alignment horizontal="center" vertical="center"/>
    </xf>
    <xf numFmtId="0" fontId="2" fillId="4" borderId="3" xfId="4" applyFont="1" applyFill="1" applyBorder="1" applyAlignment="1" applyProtection="1">
      <alignment horizontal="center" vertical="center"/>
    </xf>
    <xf numFmtId="0" fontId="8" fillId="12" borderId="20" xfId="3" applyFont="1" applyFill="1" applyBorder="1" applyAlignment="1" applyProtection="1">
      <alignment horizontal="center" vertical="center"/>
      <protection locked="0"/>
    </xf>
    <xf numFmtId="44" fontId="5" fillId="16" borderId="7" xfId="1" applyFont="1" applyFill="1" applyBorder="1" applyAlignment="1" applyProtection="1"/>
    <xf numFmtId="0" fontId="8" fillId="12" borderId="25" xfId="3" applyFont="1" applyFill="1" applyBorder="1" applyAlignment="1" applyProtection="1">
      <alignment horizontal="center" vertical="center"/>
      <protection locked="0"/>
    </xf>
    <xf numFmtId="0" fontId="8" fillId="12" borderId="0" xfId="3" applyFont="1" applyFill="1" applyBorder="1" applyAlignment="1" applyProtection="1">
      <alignment horizontal="center" vertical="center"/>
      <protection locked="0"/>
    </xf>
    <xf numFmtId="0" fontId="8" fillId="12" borderId="21" xfId="3" applyFont="1" applyFill="1" applyBorder="1" applyAlignment="1" applyProtection="1">
      <alignment horizontal="center" vertical="center"/>
      <protection locked="0"/>
    </xf>
  </cellXfs>
  <cellStyles count="6">
    <cellStyle name="60% - Accent3" xfId="4" builtinId="40"/>
    <cellStyle name="Accent3" xfId="2" builtinId="37"/>
    <cellStyle name="Currency" xfId="1" builtinId="4"/>
    <cellStyle name="Hyperlink" xfId="5" builtinId="8"/>
    <cellStyle name="Normal" xfId="0" builtinId="0"/>
    <cellStyle name="Style 1" xfId="3" xr:uid="{51988AA3-6247-4234-9043-7459D5649AB1}"/>
  </cellStyles>
  <dxfs count="685">
    <dxf>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numFmt numFmtId="165" formatCode="&quot;$&quot;#,##0"/>
      <protection locked="1" hidden="0"/>
    </dxf>
    <dxf>
      <numFmt numFmtId="165" formatCode="&quot;$&quot;#,##0"/>
      <alignment horizontal="left" vertical="bottom" textRotation="0" wrapText="0" indent="0" justifyLastLine="0" shrinkToFit="0" readingOrder="0"/>
      <protection locked="1" hidden="0"/>
    </dxf>
    <dxf>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protection locked="1" hidden="0"/>
    </dxf>
    <dxf>
      <border outline="0">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protection locked="1" hidden="0"/>
    </dxf>
    <dxf>
      <font>
        <b val="0"/>
        <i/>
        <strike val="0"/>
        <condense val="0"/>
        <extend val="0"/>
        <outline val="0"/>
        <shadow val="0"/>
        <u/>
        <vertAlign val="baseline"/>
        <sz val="11"/>
        <color theme="10"/>
        <name val="Calibri"/>
        <family val="2"/>
        <scheme val="minor"/>
      </font>
      <numFmt numFmtId="165" formatCode="&quot;$&quot;#,##0"/>
      <fill>
        <patternFill patternType="solid">
          <fgColor indexed="64"/>
          <bgColor theme="0" tint="-0.14999847407452621"/>
        </patternFill>
      </fill>
      <border diagonalUp="0" diagonalDown="0">
        <left style="thin">
          <color indexed="64"/>
        </left>
        <right style="thin">
          <color indexed="64"/>
        </right>
        <top/>
        <bottom/>
        <vertical/>
        <horizontal/>
      </border>
      <protection locked="1" hidden="0"/>
    </dxf>
    <dxf>
      <font>
        <b val="0"/>
        <i/>
        <strike val="0"/>
        <condense val="0"/>
        <extend val="0"/>
        <outline val="0"/>
        <shadow val="0"/>
        <u val="none"/>
        <vertAlign val="baseline"/>
        <sz val="11"/>
        <color theme="1"/>
        <name val="Calibri"/>
        <family val="2"/>
        <scheme val="minor"/>
      </font>
      <numFmt numFmtId="164" formatCode="&quot;$&quot;#,##0.00"/>
      <fill>
        <patternFill patternType="solid">
          <fgColor indexed="64"/>
          <bgColor theme="0" tint="-0.14999847407452621"/>
        </patternFill>
      </fill>
      <protection locked="1" hidden="0"/>
    </dxf>
    <dxf>
      <font>
        <b/>
        <i/>
        <strike val="0"/>
        <condense val="0"/>
        <extend val="0"/>
        <outline val="0"/>
        <shadow val="0"/>
        <u val="none"/>
        <vertAlign val="baseline"/>
        <sz val="11"/>
        <color theme="1"/>
        <name val="Calibri"/>
        <family val="2"/>
        <scheme val="minor"/>
      </font>
      <numFmt numFmtId="164" formatCode="&quot;$&quot;#,##0.00"/>
      <fill>
        <patternFill patternType="solid">
          <fgColor indexed="64"/>
          <bgColor theme="0" tint="-0.14999847407452621"/>
        </patternFill>
      </fill>
      <protection locked="1" hidden="0"/>
    </dxf>
    <dxf>
      <font>
        <b val="0"/>
        <i/>
        <strike val="0"/>
        <condense val="0"/>
        <extend val="0"/>
        <outline val="0"/>
        <shadow val="0"/>
        <u val="none"/>
        <vertAlign val="baseline"/>
        <sz val="11"/>
        <color theme="1"/>
        <name val="Calibri"/>
        <family val="2"/>
        <scheme val="minor"/>
      </font>
      <fill>
        <patternFill patternType="solid">
          <fgColor indexed="64"/>
          <bgColor theme="0" tint="-0.14999847407452621"/>
        </patternFill>
      </fill>
      <protection locked="1" hidden="0"/>
    </dxf>
    <dxf>
      <font>
        <b/>
        <i/>
        <strike val="0"/>
        <condense val="0"/>
        <extend val="0"/>
        <outline val="0"/>
        <shadow val="0"/>
        <u val="none"/>
        <vertAlign val="baseline"/>
        <sz val="11"/>
        <color auto="1"/>
        <name val="Calibri"/>
        <family val="2"/>
        <scheme val="minor"/>
      </font>
      <fill>
        <patternFill patternType="solid">
          <fgColor indexed="64"/>
          <bgColor theme="0" tint="-0.34998626667073579"/>
        </patternFill>
      </fill>
      <alignment horizontal="general" vertical="bottom" textRotation="0" wrapText="1" indent="0" justifyLastLine="0" shrinkToFit="0" readingOrder="0"/>
      <protection locked="1" hidden="0"/>
    </dxf>
    <dxf>
      <numFmt numFmtId="165" formatCode="&quot;$&quot;#,##0"/>
      <fill>
        <patternFill patternType="solid">
          <fgColor indexed="64"/>
          <bgColor theme="0" tint="-0.14999847407452621"/>
        </patternFill>
      </fill>
      <border diagonalUp="0" diagonalDown="0" outline="0">
        <left style="thin">
          <color indexed="64"/>
        </left>
        <right style="thin">
          <color indexed="64"/>
        </right>
        <top/>
        <bottom/>
      </border>
    </dxf>
    <dxf>
      <font>
        <i/>
      </font>
      <numFmt numFmtId="165" formatCode="&quot;$&quot;#,##0"/>
      <fill>
        <patternFill patternType="solid">
          <fgColor indexed="64"/>
          <bgColor theme="0" tint="-0.14999847407452621"/>
        </patternFill>
      </fill>
      <border diagonalUp="0" diagonalDown="0">
        <left/>
        <right style="thin">
          <color indexed="64"/>
        </right>
        <top/>
        <bottom/>
      </border>
      <protection locked="1" hidden="0"/>
    </dxf>
    <dxf>
      <numFmt numFmtId="165" formatCode="&quot;$&quot;#,##0"/>
      <fill>
        <patternFill patternType="solid">
          <fgColor indexed="64"/>
          <bgColor theme="0" tint="-0.14999847407452621"/>
        </patternFill>
      </fill>
      <border diagonalUp="0" diagonalDown="0" outline="0">
        <left/>
        <right style="thin">
          <color indexed="64"/>
        </right>
        <top/>
        <bottom/>
      </border>
      <protection locked="0" hidden="0"/>
    </dxf>
    <dxf>
      <font>
        <i/>
      </font>
      <numFmt numFmtId="165" formatCode="&quot;$&quot;#,##0"/>
      <fill>
        <patternFill patternType="solid">
          <fgColor indexed="64"/>
          <bgColor theme="8" tint="0.79998168889431442"/>
        </patternFill>
      </fill>
      <border>
        <left/>
        <right style="thin">
          <color indexed="64"/>
        </right>
      </border>
      <protection locked="0" hidden="0"/>
    </dxf>
    <dxf>
      <numFmt numFmtId="165" formatCode="&quot;$&quot;#,##0"/>
      <fill>
        <patternFill patternType="solid">
          <fgColor indexed="64"/>
          <bgColor theme="0" tint="-0.14999847407452621"/>
        </patternFill>
      </fill>
      <protection locked="0" hidden="0"/>
    </dxf>
    <dxf>
      <font>
        <i/>
      </font>
      <numFmt numFmtId="165" formatCode="&quot;$&quot;#,##0"/>
      <fill>
        <patternFill patternType="solid">
          <fgColor indexed="64"/>
          <bgColor theme="8" tint="0.79998168889431442"/>
        </patternFill>
      </fill>
      <protection locked="0" hidden="0"/>
    </dxf>
    <dxf>
      <numFmt numFmtId="165" formatCode="&quot;$&quot;#,##0"/>
      <fill>
        <patternFill patternType="solid">
          <fgColor indexed="64"/>
          <bgColor theme="0" tint="-0.14999847407452621"/>
        </patternFill>
      </fill>
      <protection locked="0" hidden="0"/>
    </dxf>
    <dxf>
      <font>
        <i/>
      </font>
      <numFmt numFmtId="165" formatCode="&quot;$&quot;#,##0"/>
      <fill>
        <patternFill patternType="solid">
          <fgColor indexed="64"/>
          <bgColor theme="8" tint="0.79998168889431442"/>
        </patternFill>
      </fill>
      <protection locked="0" hidden="0"/>
    </dxf>
    <dxf>
      <numFmt numFmtId="165" formatCode="&quot;$&quot;#,##0"/>
      <fill>
        <patternFill patternType="solid">
          <fgColor indexed="64"/>
          <bgColor theme="0" tint="-0.14999847407452621"/>
        </patternFill>
      </fill>
      <protection locked="0" hidden="0"/>
    </dxf>
    <dxf>
      <font>
        <i/>
      </font>
      <numFmt numFmtId="165" formatCode="&quot;$&quot;#,##0"/>
      <fill>
        <patternFill patternType="solid">
          <fgColor indexed="64"/>
          <bgColor theme="8" tint="0.79998168889431442"/>
        </patternFill>
      </fill>
      <protection locked="0" hidden="0"/>
    </dxf>
    <dxf>
      <numFmt numFmtId="165" formatCode="&quot;$&quot;#,##0"/>
      <fill>
        <patternFill patternType="solid">
          <fgColor indexed="64"/>
          <bgColor theme="0" tint="-0.14999847407452621"/>
        </patternFill>
      </fill>
      <protection locked="0" hidden="0"/>
    </dxf>
    <dxf>
      <font>
        <i/>
      </font>
      <numFmt numFmtId="165" formatCode="&quot;$&quot;#,##0"/>
      <fill>
        <patternFill patternType="solid">
          <fgColor indexed="64"/>
          <bgColor theme="8" tint="0.79998168889431442"/>
        </patternFill>
      </fill>
      <protection locked="0" hidden="0"/>
    </dxf>
    <dxf>
      <fill>
        <patternFill patternType="solid">
          <fgColor indexed="64"/>
          <bgColor theme="0" tint="-0.14999847407452621"/>
        </patternFill>
      </fill>
      <protection locked="0" hidden="0"/>
    </dxf>
    <dxf>
      <font>
        <i/>
      </font>
      <fill>
        <patternFill patternType="solid">
          <fgColor indexed="64"/>
          <bgColor theme="8" tint="0.79998168889431442"/>
        </patternFill>
      </fill>
      <protection locked="0" hidden="0"/>
    </dxf>
    <dxf>
      <fill>
        <patternFill patternType="solid">
          <fgColor indexed="64"/>
          <bgColor theme="0" tint="-0.14999847407452621"/>
        </patternFill>
      </fill>
      <protection locked="0" hidden="0"/>
    </dxf>
    <dxf>
      <font>
        <i/>
      </font>
      <fill>
        <patternFill patternType="solid">
          <fgColor indexed="64"/>
          <bgColor theme="0" tint="-0.14999847407452621"/>
        </patternFill>
      </fill>
      <border diagonalUp="0" diagonalDown="0">
        <left style="thin">
          <color indexed="64"/>
        </left>
        <right style="thin">
          <color indexed="64"/>
        </right>
        <top/>
        <bottom/>
        <vertical/>
        <horizontal/>
      </border>
      <protection locked="1" hidden="0"/>
    </dxf>
    <dxf>
      <border>
        <top style="thin">
          <color indexed="64"/>
        </top>
      </border>
    </dxf>
    <dxf>
      <protection locked="0" hidden="0"/>
    </dxf>
    <dxf>
      <font>
        <i/>
        <family val="2"/>
      </font>
      <protection locked="1" hidden="0"/>
    </dxf>
    <dxf>
      <font>
        <b/>
        <i/>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bottom" textRotation="0" wrapText="1" indent="0" justifyLastLine="0" shrinkToFit="0" readingOrder="0"/>
      <protection locked="1" hidden="0"/>
    </dxf>
    <dxf>
      <font>
        <b val="0"/>
        <i/>
        <strike val="0"/>
        <condense val="0"/>
        <extend val="0"/>
        <outline val="0"/>
        <shadow val="0"/>
        <u/>
        <vertAlign val="baseline"/>
        <sz val="11"/>
        <color theme="10"/>
        <name val="Calibri"/>
        <family val="2"/>
        <scheme val="minor"/>
      </font>
      <numFmt numFmtId="165" formatCode="&quot;$&quot;#,##0"/>
      <fill>
        <patternFill patternType="solid">
          <fgColor indexed="64"/>
          <bgColor theme="0" tint="-0.14999847407452621"/>
        </patternFill>
      </fill>
      <border diagonalUp="0" diagonalDown="0">
        <left/>
        <right style="thin">
          <color indexed="64"/>
        </right>
        <top style="thin">
          <color indexed="64"/>
        </top>
        <bottom style="double">
          <color indexed="64"/>
        </bottom>
      </border>
      <protection locked="1" hidden="0"/>
    </dxf>
    <dxf>
      <protection locked="1" hidden="0"/>
    </dxf>
    <dxf>
      <font>
        <b val="0"/>
        <i/>
        <strike val="0"/>
        <condense val="0"/>
        <extend val="0"/>
        <outline val="0"/>
        <shadow val="0"/>
        <u val="none"/>
        <vertAlign val="baseline"/>
        <sz val="11"/>
        <color theme="1"/>
        <name val="Calibri"/>
        <family val="2"/>
        <scheme val="minor"/>
      </font>
      <numFmt numFmtId="165" formatCode="&quot;$&quot;#,##0"/>
      <fill>
        <patternFill patternType="solid">
          <fgColor indexed="64"/>
          <bgColor theme="0" tint="-0.14999847407452621"/>
        </patternFill>
      </fill>
      <border diagonalUp="0" diagonalDown="0">
        <left/>
        <right/>
        <top style="thin">
          <color indexed="64"/>
        </top>
        <bottom style="double">
          <color indexed="64"/>
        </bottom>
      </border>
      <protection locked="1" hidden="0"/>
    </dxf>
    <dxf>
      <font>
        <i/>
      </font>
      <numFmt numFmtId="165" formatCode="&quot;$&quot;#,##0"/>
      <fill>
        <patternFill patternType="solid">
          <fgColor indexed="64"/>
          <bgColor theme="0" tint="-0.14999847407452621"/>
        </patternFill>
      </fill>
      <protection locked="1" hidden="0"/>
    </dxf>
    <dxf>
      <font>
        <b val="0"/>
        <i/>
        <strike val="0"/>
        <condense val="0"/>
        <extend val="0"/>
        <outline val="0"/>
        <shadow val="0"/>
        <u val="none"/>
        <vertAlign val="baseline"/>
        <sz val="11"/>
        <color theme="1"/>
        <name val="Calibri"/>
        <family val="2"/>
        <scheme val="minor"/>
      </font>
      <numFmt numFmtId="165" formatCode="&quot;$&quot;#,##0"/>
      <fill>
        <patternFill patternType="solid">
          <fgColor indexed="64"/>
          <bgColor theme="0" tint="-0.14999847407452621"/>
        </patternFill>
      </fill>
      <border diagonalUp="0" diagonalDown="0">
        <left/>
        <right/>
        <top style="thin">
          <color indexed="64"/>
        </top>
        <bottom style="double">
          <color indexed="64"/>
        </bottom>
      </border>
      <protection locked="1" hidden="0"/>
    </dxf>
    <dxf>
      <font>
        <i/>
      </font>
      <numFmt numFmtId="165" formatCode="&quot;$&quot;#,##0"/>
      <fill>
        <patternFill patternType="solid">
          <fgColor indexed="64"/>
          <bgColor theme="0" tint="-0.14999847407452621"/>
        </patternFill>
      </fill>
      <protection locked="1" hidden="0"/>
    </dxf>
    <dxf>
      <font>
        <b val="0"/>
        <i/>
        <strike val="0"/>
        <condense val="0"/>
        <extend val="0"/>
        <outline val="0"/>
        <shadow val="0"/>
        <u val="none"/>
        <vertAlign val="baseline"/>
        <sz val="11"/>
        <color theme="1"/>
        <name val="Calibri"/>
        <family val="2"/>
        <scheme val="minor"/>
      </font>
      <numFmt numFmtId="165" formatCode="&quot;$&quot;#,##0"/>
      <fill>
        <patternFill patternType="solid">
          <fgColor indexed="64"/>
          <bgColor theme="0" tint="-0.14999847407452621"/>
        </patternFill>
      </fill>
      <border diagonalUp="0" diagonalDown="0">
        <left/>
        <right/>
        <top style="thin">
          <color indexed="64"/>
        </top>
        <bottom style="double">
          <color indexed="64"/>
        </bottom>
      </border>
      <protection locked="1" hidden="0"/>
    </dxf>
    <dxf>
      <font>
        <i/>
      </font>
      <numFmt numFmtId="165" formatCode="&quot;$&quot;#,##0"/>
      <fill>
        <patternFill patternType="solid">
          <fgColor indexed="64"/>
          <bgColor theme="0" tint="-0.14999847407452621"/>
        </patternFill>
      </fill>
      <protection locked="1" hidden="0"/>
    </dxf>
    <dxf>
      <font>
        <b val="0"/>
        <i/>
        <strike val="0"/>
        <condense val="0"/>
        <extend val="0"/>
        <outline val="0"/>
        <shadow val="0"/>
        <u val="none"/>
        <vertAlign val="baseline"/>
        <sz val="11"/>
        <color theme="1"/>
        <name val="Calibri"/>
        <family val="2"/>
        <scheme val="minor"/>
      </font>
      <numFmt numFmtId="165" formatCode="&quot;$&quot;#,##0"/>
      <fill>
        <patternFill patternType="solid">
          <fgColor indexed="64"/>
          <bgColor theme="0" tint="-0.14999847407452621"/>
        </patternFill>
      </fill>
      <border diagonalUp="0" diagonalDown="0">
        <left/>
        <right/>
        <top style="thin">
          <color indexed="64"/>
        </top>
        <bottom style="double">
          <color indexed="64"/>
        </bottom>
      </border>
      <protection locked="1" hidden="0"/>
    </dxf>
    <dxf>
      <font>
        <i/>
      </font>
      <numFmt numFmtId="165" formatCode="&quot;$&quot;#,##0"/>
      <fill>
        <patternFill patternType="solid">
          <fgColor indexed="64"/>
          <bgColor theme="0" tint="-0.14999847407452621"/>
        </patternFill>
      </fill>
      <protection locked="1" hidden="0"/>
    </dxf>
    <dxf>
      <font>
        <b val="0"/>
        <i/>
        <strike val="0"/>
        <condense val="0"/>
        <extend val="0"/>
        <outline val="0"/>
        <shadow val="0"/>
        <u val="none"/>
        <vertAlign val="baseline"/>
        <sz val="11"/>
        <color theme="1"/>
        <name val="Calibri"/>
        <family val="2"/>
        <scheme val="minor"/>
      </font>
      <numFmt numFmtId="165" formatCode="&quot;$&quot;#,##0"/>
      <fill>
        <patternFill patternType="solid">
          <fgColor indexed="64"/>
          <bgColor theme="0" tint="-0.14999847407452621"/>
        </patternFill>
      </fill>
      <border diagonalUp="0" diagonalDown="0">
        <left/>
        <right/>
        <top style="thin">
          <color indexed="64"/>
        </top>
        <bottom style="double">
          <color indexed="64"/>
        </bottom>
      </border>
      <protection locked="1" hidden="0"/>
    </dxf>
    <dxf>
      <font>
        <i/>
      </font>
      <numFmt numFmtId="165" formatCode="&quot;$&quot;#,##0"/>
      <fill>
        <patternFill patternType="solid">
          <fgColor indexed="64"/>
          <bgColor theme="0" tint="-0.14999847407452621"/>
        </patternFill>
      </fill>
      <protection locked="1" hidden="0"/>
    </dxf>
    <dxf>
      <font>
        <b val="0"/>
        <i/>
        <strike val="0"/>
        <condense val="0"/>
        <extend val="0"/>
        <outline val="0"/>
        <shadow val="0"/>
        <u val="none"/>
        <vertAlign val="baseline"/>
        <sz val="11"/>
        <color theme="1"/>
        <name val="Calibri"/>
        <family val="2"/>
        <scheme val="minor"/>
      </font>
      <numFmt numFmtId="164" formatCode="&quot;$&quot;#,##0.00"/>
      <fill>
        <patternFill patternType="solid">
          <fgColor indexed="64"/>
          <bgColor theme="0" tint="-0.14999847407452621"/>
        </patternFill>
      </fill>
      <border diagonalUp="0" diagonalDown="0">
        <left/>
        <right/>
        <top style="thin">
          <color indexed="64"/>
        </top>
        <bottom style="double">
          <color indexed="64"/>
        </bottom>
      </border>
      <protection locked="1" hidden="0"/>
    </dxf>
    <dxf>
      <font>
        <i/>
      </font>
      <numFmt numFmtId="0" formatCode="General"/>
      <fill>
        <patternFill patternType="solid">
          <fgColor indexed="64"/>
          <bgColor theme="0" tint="-0.14999847407452621"/>
        </patternFill>
      </fill>
      <protection locked="1" hidden="0"/>
    </dxf>
    <dxf>
      <font>
        <b/>
        <i/>
        <strike val="0"/>
        <condense val="0"/>
        <extend val="0"/>
        <outline val="0"/>
        <shadow val="0"/>
        <u val="none"/>
        <vertAlign val="baseline"/>
        <sz val="11"/>
        <color theme="1"/>
        <name val="Calibri"/>
        <family val="2"/>
        <scheme val="minor"/>
      </font>
      <numFmt numFmtId="164" formatCode="&quot;$&quot;#,##0.00"/>
      <fill>
        <patternFill patternType="solid">
          <fgColor indexed="64"/>
          <bgColor theme="0" tint="-0.14999847407452621"/>
        </patternFill>
      </fill>
      <border diagonalUp="0" diagonalDown="0">
        <left/>
        <right/>
        <top style="thin">
          <color indexed="64"/>
        </top>
        <bottom style="double">
          <color indexed="64"/>
        </bottom>
      </border>
      <protection locked="1" hidden="0"/>
    </dxf>
    <dxf>
      <font>
        <i/>
      </font>
      <numFmt numFmtId="0" formatCode="General"/>
      <fill>
        <patternFill patternType="solid">
          <fgColor indexed="64"/>
          <bgColor theme="0" tint="-0.14999847407452621"/>
        </patternFill>
      </fill>
      <protection locked="1" hidden="0"/>
    </dxf>
    <dxf>
      <border>
        <top style="thin">
          <color indexed="64"/>
        </top>
      </border>
    </dxf>
    <dxf>
      <font>
        <i/>
        <family val="2"/>
      </font>
      <border diagonalUp="0" diagonalDown="0">
        <left style="thin">
          <color indexed="64"/>
        </left>
        <right style="thin">
          <color indexed="64"/>
        </right>
        <top/>
        <bottom/>
      </border>
      <protection locked="1" hidden="0"/>
    </dxf>
    <dxf>
      <font>
        <i/>
        <family val="2"/>
      </font>
      <protection locked="1" hidden="0"/>
    </dxf>
    <dxf>
      <font>
        <b/>
        <i/>
        <strike val="0"/>
        <condense val="0"/>
        <extend val="0"/>
        <outline val="0"/>
        <shadow val="0"/>
        <u val="none"/>
        <vertAlign val="baseline"/>
        <sz val="11"/>
        <color auto="1"/>
        <name val="Calibri"/>
        <family val="2"/>
        <scheme val="minor"/>
      </font>
      <fill>
        <patternFill patternType="solid">
          <fgColor indexed="64"/>
          <bgColor theme="0" tint="-0.34998626667073579"/>
        </patternFill>
      </fill>
      <alignment horizontal="general" vertical="bottom" textRotation="0" wrapText="1" indent="0" justifyLastLine="0" shrinkToFit="0" readingOrder="0"/>
      <protection locked="1" hidden="0"/>
    </dxf>
    <dxf>
      <numFmt numFmtId="165" formatCode="&quot;$&quot;#,##0"/>
    </dxf>
    <dxf>
      <numFmt numFmtId="165" formatCode="&quot;$&quot;#,##0"/>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5" formatCode="&quot;$&quot;#,##0"/>
    </dxf>
    <dxf>
      <numFmt numFmtId="165" formatCode="&quot;$&quot;#,##0"/>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dxf>
    <dxf>
      <numFmt numFmtId="165" formatCode="&quot;$&quot;#,##0"/>
    </dxf>
    <dxf>
      <numFmt numFmtId="165" formatCode="&quot;$&quot;#,##0"/>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dxf>
    <dxf>
      <numFmt numFmtId="165" formatCode="&quot;$&quot;#,##0"/>
    </dxf>
    <dxf>
      <numFmt numFmtId="165" formatCode="&quot;$&quot;#,##0"/>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dxf>
    <dxf>
      <numFmt numFmtId="165" formatCode="&quot;$&quot;#,##0"/>
    </dxf>
    <dxf>
      <numFmt numFmtId="165" formatCode="&quot;$&quot;#,##0"/>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quot;$&quot;#,##0.00"/>
      <alignment horizontal="lef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diagonalUp="0" diagonalDown="0">
        <left/>
        <right/>
        <top/>
        <bottom style="double">
          <color indexed="64"/>
        </bottom>
        <vertical/>
        <horizontal/>
      </border>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general" vertical="bottom" textRotation="0" wrapText="1" indent="0" justifyLastLine="0" shrinkToFit="0" readingOrder="0"/>
    </dxf>
    <dxf>
      <font>
        <b val="0"/>
        <i/>
        <strike val="0"/>
        <condense val="0"/>
        <extend val="0"/>
        <outline val="0"/>
        <shadow val="0"/>
        <u/>
        <vertAlign val="baseline"/>
        <sz val="11"/>
        <color theme="10"/>
        <name val="Calibri"/>
        <family val="2"/>
        <scheme val="minor"/>
      </font>
      <numFmt numFmtId="165" formatCode="&quot;$&quot;#,##0"/>
      <fill>
        <patternFill patternType="solid">
          <fgColor indexed="64"/>
          <bgColor theme="0" tint="-0.14999847407452621"/>
        </patternFill>
      </fill>
      <border diagonalUp="0" diagonalDown="0">
        <left style="thin">
          <color indexed="64"/>
        </left>
        <right style="thin">
          <color indexed="64"/>
        </right>
        <top/>
        <bottom/>
        <vertical/>
        <horizontal/>
      </border>
      <protection locked="1" hidden="0"/>
    </dxf>
    <dxf>
      <font>
        <b val="0"/>
        <i/>
        <strike val="0"/>
        <condense val="0"/>
        <extend val="0"/>
        <outline val="0"/>
        <shadow val="0"/>
        <u val="none"/>
        <vertAlign val="baseline"/>
        <sz val="11"/>
        <color theme="1"/>
        <name val="Calibri"/>
        <family val="2"/>
        <scheme val="minor"/>
      </font>
      <numFmt numFmtId="164" formatCode="&quot;$&quot;#,##0.00"/>
      <fill>
        <patternFill patternType="solid">
          <fgColor indexed="64"/>
          <bgColor theme="0" tint="-0.14999847407452621"/>
        </patternFill>
      </fill>
      <protection locked="1" hidden="0"/>
    </dxf>
    <dxf>
      <font>
        <b/>
        <i/>
        <strike val="0"/>
        <condense val="0"/>
        <extend val="0"/>
        <outline val="0"/>
        <shadow val="0"/>
        <u val="none"/>
        <vertAlign val="baseline"/>
        <sz val="11"/>
        <color theme="1"/>
        <name val="Calibri"/>
        <family val="2"/>
        <scheme val="minor"/>
      </font>
      <numFmt numFmtId="164" formatCode="&quot;$&quot;#,##0.00"/>
      <fill>
        <patternFill patternType="solid">
          <fgColor indexed="64"/>
          <bgColor theme="0" tint="-0.14999847407452621"/>
        </patternFill>
      </fill>
      <protection locked="1" hidden="0"/>
    </dxf>
    <dxf>
      <font>
        <b val="0"/>
        <i/>
        <strike val="0"/>
        <condense val="0"/>
        <extend val="0"/>
        <outline val="0"/>
        <shadow val="0"/>
        <u val="none"/>
        <vertAlign val="baseline"/>
        <sz val="11"/>
        <color theme="1"/>
        <name val="Calibri"/>
        <family val="2"/>
        <scheme val="minor"/>
      </font>
      <fill>
        <patternFill patternType="solid">
          <fgColor indexed="64"/>
          <bgColor theme="0" tint="-0.14999847407452621"/>
        </patternFill>
      </fill>
      <protection locked="1" hidden="0"/>
    </dxf>
    <dxf>
      <font>
        <b/>
        <i/>
        <strike val="0"/>
        <condense val="0"/>
        <extend val="0"/>
        <outline val="0"/>
        <shadow val="0"/>
        <u val="none"/>
        <vertAlign val="baseline"/>
        <sz val="11"/>
        <color auto="1"/>
        <name val="Calibri"/>
        <family val="2"/>
        <scheme val="minor"/>
      </font>
      <fill>
        <patternFill patternType="solid">
          <fgColor indexed="64"/>
          <bgColor theme="0" tint="-0.34998626667073579"/>
        </patternFill>
      </fill>
      <alignment horizontal="general" vertical="bottom" textRotation="0" wrapText="1" indent="0" justifyLastLine="0" shrinkToFit="0" readingOrder="0"/>
      <protection locked="1" hidden="0"/>
    </dxf>
    <dxf>
      <numFmt numFmtId="165" formatCode="&quot;$&quot;#,##0"/>
      <fill>
        <patternFill patternType="solid">
          <fgColor indexed="64"/>
          <bgColor theme="0" tint="-0.14999847407452621"/>
        </patternFill>
      </fill>
      <border diagonalUp="0" diagonalDown="0" outline="0">
        <left style="thin">
          <color indexed="64"/>
        </left>
        <right style="thin">
          <color indexed="64"/>
        </right>
        <top/>
        <bottom/>
      </border>
    </dxf>
    <dxf>
      <font>
        <i/>
      </font>
      <numFmt numFmtId="165" formatCode="&quot;$&quot;#,##0"/>
      <fill>
        <patternFill patternType="solid">
          <fgColor indexed="64"/>
          <bgColor theme="0" tint="-0.14999847407452621"/>
        </patternFill>
      </fill>
      <border diagonalUp="0" diagonalDown="0">
        <left/>
        <right style="thin">
          <color indexed="64"/>
        </right>
        <top/>
        <bottom/>
      </border>
      <protection locked="1" hidden="0"/>
    </dxf>
    <dxf>
      <numFmt numFmtId="165" formatCode="&quot;$&quot;#,##0"/>
      <fill>
        <patternFill patternType="solid">
          <fgColor indexed="64"/>
          <bgColor theme="0" tint="-0.14999847407452621"/>
        </patternFill>
      </fill>
      <border diagonalUp="0" diagonalDown="0" outline="0">
        <left/>
        <right style="thin">
          <color indexed="64"/>
        </right>
        <top/>
        <bottom/>
      </border>
      <protection locked="0" hidden="0"/>
    </dxf>
    <dxf>
      <font>
        <i/>
      </font>
      <numFmt numFmtId="165" formatCode="&quot;$&quot;#,##0"/>
      <fill>
        <patternFill patternType="solid">
          <fgColor indexed="64"/>
          <bgColor theme="8" tint="0.79998168889431442"/>
        </patternFill>
      </fill>
      <border>
        <left/>
        <right style="thin">
          <color indexed="64"/>
        </right>
      </border>
      <protection locked="1" hidden="0"/>
    </dxf>
    <dxf>
      <numFmt numFmtId="165" formatCode="&quot;$&quot;#,##0"/>
      <fill>
        <patternFill patternType="solid">
          <fgColor indexed="64"/>
          <bgColor theme="0" tint="-0.14999847407452621"/>
        </patternFill>
      </fill>
      <protection locked="0" hidden="0"/>
    </dxf>
    <dxf>
      <font>
        <i/>
      </font>
      <numFmt numFmtId="165" formatCode="&quot;$&quot;#,##0"/>
      <fill>
        <patternFill patternType="solid">
          <fgColor indexed="64"/>
          <bgColor theme="8" tint="0.79998168889431442"/>
        </patternFill>
      </fill>
      <protection locked="1" hidden="0"/>
    </dxf>
    <dxf>
      <numFmt numFmtId="165" formatCode="&quot;$&quot;#,##0"/>
      <fill>
        <patternFill patternType="solid">
          <fgColor indexed="64"/>
          <bgColor theme="0" tint="-0.14999847407452621"/>
        </patternFill>
      </fill>
      <protection locked="0" hidden="0"/>
    </dxf>
    <dxf>
      <font>
        <i/>
      </font>
      <numFmt numFmtId="165" formatCode="&quot;$&quot;#,##0"/>
      <fill>
        <patternFill patternType="solid">
          <fgColor indexed="64"/>
          <bgColor theme="8" tint="0.79998168889431442"/>
        </patternFill>
      </fill>
      <protection locked="1" hidden="0"/>
    </dxf>
    <dxf>
      <numFmt numFmtId="165" formatCode="&quot;$&quot;#,##0"/>
      <fill>
        <patternFill patternType="solid">
          <fgColor indexed="64"/>
          <bgColor theme="0" tint="-0.14999847407452621"/>
        </patternFill>
      </fill>
      <protection locked="0" hidden="0"/>
    </dxf>
    <dxf>
      <font>
        <i/>
      </font>
      <numFmt numFmtId="165" formatCode="&quot;$&quot;#,##0"/>
      <fill>
        <patternFill patternType="solid">
          <fgColor indexed="64"/>
          <bgColor theme="8" tint="0.79998168889431442"/>
        </patternFill>
      </fill>
      <protection locked="1" hidden="0"/>
    </dxf>
    <dxf>
      <numFmt numFmtId="165" formatCode="&quot;$&quot;#,##0"/>
      <fill>
        <patternFill patternType="solid">
          <fgColor indexed="64"/>
          <bgColor theme="0" tint="-0.14999847407452621"/>
        </patternFill>
      </fill>
      <protection locked="0" hidden="0"/>
    </dxf>
    <dxf>
      <font>
        <i/>
      </font>
      <numFmt numFmtId="165" formatCode="&quot;$&quot;#,##0"/>
      <fill>
        <patternFill patternType="solid">
          <fgColor indexed="64"/>
          <bgColor theme="8" tint="0.79998168889431442"/>
        </patternFill>
      </fill>
      <protection locked="1" hidden="0"/>
    </dxf>
    <dxf>
      <fill>
        <patternFill patternType="solid">
          <fgColor indexed="64"/>
          <bgColor theme="0" tint="-0.14999847407452621"/>
        </patternFill>
      </fill>
      <protection locked="0" hidden="0"/>
    </dxf>
    <dxf>
      <font>
        <i/>
      </font>
      <fill>
        <patternFill patternType="solid">
          <fgColor indexed="64"/>
          <bgColor theme="8" tint="0.79998168889431442"/>
        </patternFill>
      </fill>
      <protection locked="1" hidden="0"/>
    </dxf>
    <dxf>
      <fill>
        <patternFill patternType="solid">
          <fgColor indexed="64"/>
          <bgColor theme="0" tint="-0.14999847407452621"/>
        </patternFill>
      </fill>
      <protection locked="0" hidden="0"/>
    </dxf>
    <dxf>
      <font>
        <i/>
      </font>
      <fill>
        <patternFill patternType="solid">
          <fgColor indexed="64"/>
          <bgColor theme="0" tint="-0.14999847407452621"/>
        </patternFill>
      </fill>
      <border diagonalUp="0" diagonalDown="0">
        <left style="thin">
          <color indexed="64"/>
        </left>
        <right style="thin">
          <color indexed="64"/>
        </right>
        <top/>
        <bottom/>
        <vertical/>
        <horizontal/>
      </border>
      <protection locked="1" hidden="0"/>
    </dxf>
    <dxf>
      <border>
        <top style="thin">
          <color indexed="64"/>
        </top>
      </border>
    </dxf>
    <dxf>
      <protection locked="0" hidden="0"/>
    </dxf>
    <dxf>
      <font>
        <i/>
        <family val="2"/>
      </font>
      <protection locked="1" hidden="0"/>
    </dxf>
    <dxf>
      <font>
        <b/>
        <i/>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bottom" textRotation="0" wrapText="1" indent="0" justifyLastLine="0" shrinkToFit="0" readingOrder="0"/>
      <protection locked="1" hidden="0"/>
    </dxf>
    <dxf>
      <font>
        <b val="0"/>
        <i/>
        <strike val="0"/>
        <condense val="0"/>
        <extend val="0"/>
        <outline val="0"/>
        <shadow val="0"/>
        <u/>
        <vertAlign val="baseline"/>
        <sz val="11"/>
        <color theme="10"/>
        <name val="Calibri"/>
        <family val="2"/>
        <scheme val="minor"/>
      </font>
      <numFmt numFmtId="165" formatCode="&quot;$&quot;#,##0"/>
      <fill>
        <patternFill patternType="solid">
          <fgColor indexed="64"/>
          <bgColor theme="0" tint="-4.9989318521683403E-2"/>
        </patternFill>
      </fill>
      <border diagonalUp="0" diagonalDown="0" outline="0">
        <left/>
        <right style="thin">
          <color indexed="64"/>
        </right>
        <top style="thin">
          <color indexed="64"/>
        </top>
        <bottom style="double">
          <color indexed="64"/>
        </bottom>
      </border>
      <protection locked="1" hidden="0"/>
    </dxf>
    <dxf>
      <protection locked="1" hidden="0"/>
    </dxf>
    <dxf>
      <font>
        <b val="0"/>
        <i/>
        <strike val="0"/>
        <condense val="0"/>
        <extend val="0"/>
        <outline val="0"/>
        <shadow val="0"/>
        <u val="none"/>
        <vertAlign val="baseline"/>
        <sz val="11"/>
        <color theme="1"/>
        <name val="Calibri"/>
        <family val="2"/>
        <scheme val="minor"/>
      </font>
      <numFmt numFmtId="165" formatCode="&quot;$&quot;#,##0"/>
      <fill>
        <patternFill patternType="solid">
          <fgColor indexed="64"/>
          <bgColor theme="0" tint="-0.14999847407452621"/>
        </patternFill>
      </fill>
      <border diagonalUp="0" diagonalDown="0" outline="0">
        <left/>
        <right/>
        <top style="thin">
          <color indexed="64"/>
        </top>
        <bottom style="double">
          <color indexed="64"/>
        </bottom>
      </border>
      <protection locked="1" hidden="0"/>
    </dxf>
    <dxf>
      <font>
        <i/>
      </font>
      <numFmt numFmtId="165" formatCode="&quot;$&quot;#,##0"/>
      <fill>
        <patternFill patternType="solid">
          <fgColor indexed="64"/>
          <bgColor theme="0" tint="-0.14999847407452621"/>
        </patternFill>
      </fill>
      <protection locked="1" hidden="0"/>
    </dxf>
    <dxf>
      <font>
        <b val="0"/>
        <i/>
        <strike val="0"/>
        <condense val="0"/>
        <extend val="0"/>
        <outline val="0"/>
        <shadow val="0"/>
        <u val="none"/>
        <vertAlign val="baseline"/>
        <sz val="11"/>
        <color theme="1"/>
        <name val="Calibri"/>
        <family val="2"/>
        <scheme val="minor"/>
      </font>
      <numFmt numFmtId="165" formatCode="&quot;$&quot;#,##0"/>
      <fill>
        <patternFill patternType="solid">
          <fgColor indexed="64"/>
          <bgColor theme="0" tint="-0.14999847407452621"/>
        </patternFill>
      </fill>
      <border diagonalUp="0" diagonalDown="0" outline="0">
        <left/>
        <right/>
        <top style="thin">
          <color indexed="64"/>
        </top>
        <bottom style="double">
          <color indexed="64"/>
        </bottom>
      </border>
      <protection locked="1" hidden="0"/>
    </dxf>
    <dxf>
      <font>
        <i/>
      </font>
      <numFmt numFmtId="165" formatCode="&quot;$&quot;#,##0"/>
      <fill>
        <patternFill patternType="solid">
          <fgColor indexed="64"/>
          <bgColor theme="0" tint="-0.14999847407452621"/>
        </patternFill>
      </fill>
      <protection locked="1" hidden="0"/>
    </dxf>
    <dxf>
      <font>
        <b val="0"/>
        <i/>
        <strike val="0"/>
        <condense val="0"/>
        <extend val="0"/>
        <outline val="0"/>
        <shadow val="0"/>
        <u val="none"/>
        <vertAlign val="baseline"/>
        <sz val="11"/>
        <color theme="1"/>
        <name val="Calibri"/>
        <family val="2"/>
        <scheme val="minor"/>
      </font>
      <numFmt numFmtId="165" formatCode="&quot;$&quot;#,##0"/>
      <fill>
        <patternFill patternType="solid">
          <fgColor indexed="64"/>
          <bgColor theme="0" tint="-0.14999847407452621"/>
        </patternFill>
      </fill>
      <border diagonalUp="0" diagonalDown="0" outline="0">
        <left/>
        <right/>
        <top style="thin">
          <color indexed="64"/>
        </top>
        <bottom style="double">
          <color indexed="64"/>
        </bottom>
      </border>
      <protection locked="1" hidden="0"/>
    </dxf>
    <dxf>
      <font>
        <i/>
      </font>
      <numFmt numFmtId="165" formatCode="&quot;$&quot;#,##0"/>
      <fill>
        <patternFill patternType="solid">
          <fgColor indexed="64"/>
          <bgColor theme="0" tint="-0.14999847407452621"/>
        </patternFill>
      </fill>
      <protection locked="1" hidden="0"/>
    </dxf>
    <dxf>
      <font>
        <b val="0"/>
        <i/>
        <strike val="0"/>
        <condense val="0"/>
        <extend val="0"/>
        <outline val="0"/>
        <shadow val="0"/>
        <u val="none"/>
        <vertAlign val="baseline"/>
        <sz val="11"/>
        <color theme="1"/>
        <name val="Calibri"/>
        <family val="2"/>
        <scheme val="minor"/>
      </font>
      <numFmt numFmtId="165" formatCode="&quot;$&quot;#,##0"/>
      <fill>
        <patternFill patternType="solid">
          <fgColor indexed="64"/>
          <bgColor theme="0" tint="-0.14999847407452621"/>
        </patternFill>
      </fill>
      <border diagonalUp="0" diagonalDown="0" outline="0">
        <left/>
        <right/>
        <top style="thin">
          <color indexed="64"/>
        </top>
        <bottom style="double">
          <color indexed="64"/>
        </bottom>
      </border>
      <protection locked="1" hidden="0"/>
    </dxf>
    <dxf>
      <font>
        <i/>
      </font>
      <numFmt numFmtId="165" formatCode="&quot;$&quot;#,##0"/>
      <fill>
        <patternFill patternType="solid">
          <fgColor indexed="64"/>
          <bgColor theme="0" tint="-0.14999847407452621"/>
        </patternFill>
      </fill>
      <protection locked="1" hidden="0"/>
    </dxf>
    <dxf>
      <font>
        <b val="0"/>
        <i/>
        <strike val="0"/>
        <condense val="0"/>
        <extend val="0"/>
        <outline val="0"/>
        <shadow val="0"/>
        <u val="none"/>
        <vertAlign val="baseline"/>
        <sz val="11"/>
        <color theme="1"/>
        <name val="Calibri"/>
        <family val="2"/>
        <scheme val="minor"/>
      </font>
      <numFmt numFmtId="165" formatCode="&quot;$&quot;#,##0"/>
      <fill>
        <patternFill patternType="solid">
          <fgColor indexed="64"/>
          <bgColor theme="0" tint="-0.14999847407452621"/>
        </patternFill>
      </fill>
      <border diagonalUp="0" diagonalDown="0" outline="0">
        <left/>
        <right/>
        <top style="thin">
          <color indexed="64"/>
        </top>
        <bottom style="double">
          <color indexed="64"/>
        </bottom>
      </border>
      <protection locked="1" hidden="0"/>
    </dxf>
    <dxf>
      <font>
        <i/>
      </font>
      <numFmt numFmtId="165" formatCode="&quot;$&quot;#,##0"/>
      <fill>
        <patternFill patternType="solid">
          <fgColor indexed="64"/>
          <bgColor theme="0" tint="-0.14999847407452621"/>
        </patternFill>
      </fill>
      <protection locked="1" hidden="0"/>
    </dxf>
    <dxf>
      <font>
        <b val="0"/>
        <i/>
        <strike val="0"/>
        <condense val="0"/>
        <extend val="0"/>
        <outline val="0"/>
        <shadow val="0"/>
        <u val="none"/>
        <vertAlign val="baseline"/>
        <sz val="11"/>
        <color theme="1"/>
        <name val="Calibri"/>
        <family val="2"/>
        <scheme val="minor"/>
      </font>
      <numFmt numFmtId="164" formatCode="&quot;$&quot;#,##0.00"/>
      <fill>
        <patternFill patternType="solid">
          <fgColor indexed="64"/>
          <bgColor theme="0" tint="-0.14999847407452621"/>
        </patternFill>
      </fill>
      <border diagonalUp="0" diagonalDown="0" outline="0">
        <left/>
        <right/>
        <top style="thin">
          <color indexed="64"/>
        </top>
        <bottom style="double">
          <color indexed="64"/>
        </bottom>
      </border>
      <protection locked="1" hidden="0"/>
    </dxf>
    <dxf>
      <font>
        <i/>
      </font>
      <numFmt numFmtId="0" formatCode="General"/>
      <fill>
        <patternFill patternType="solid">
          <fgColor indexed="64"/>
          <bgColor theme="0" tint="-0.14999847407452621"/>
        </patternFill>
      </fill>
      <protection locked="1" hidden="0"/>
    </dxf>
    <dxf>
      <font>
        <b/>
        <i/>
        <strike val="0"/>
        <condense val="0"/>
        <extend val="0"/>
        <outline val="0"/>
        <shadow val="0"/>
        <u val="none"/>
        <vertAlign val="baseline"/>
        <sz val="11"/>
        <color theme="1"/>
        <name val="Calibri"/>
        <family val="2"/>
        <scheme val="minor"/>
      </font>
      <numFmt numFmtId="164" formatCode="&quot;$&quot;#,##0.00"/>
      <fill>
        <patternFill patternType="solid">
          <fgColor indexed="64"/>
          <bgColor theme="0" tint="-0.14999847407452621"/>
        </patternFill>
      </fill>
      <border diagonalUp="0" diagonalDown="0" outline="0">
        <left/>
        <right/>
        <top style="thin">
          <color indexed="64"/>
        </top>
        <bottom style="double">
          <color indexed="64"/>
        </bottom>
      </border>
      <protection locked="1" hidden="0"/>
    </dxf>
    <dxf>
      <font>
        <i/>
      </font>
      <numFmt numFmtId="0" formatCode="General"/>
      <fill>
        <patternFill patternType="solid">
          <fgColor indexed="64"/>
          <bgColor theme="0" tint="-0.14999847407452621"/>
        </patternFill>
      </fill>
      <protection locked="1" hidden="0"/>
    </dxf>
    <dxf>
      <border>
        <top style="thin">
          <color indexed="64"/>
        </top>
      </border>
    </dxf>
    <dxf>
      <font>
        <i/>
        <family val="2"/>
      </font>
      <border diagonalUp="0" diagonalDown="0">
        <left style="thin">
          <color indexed="64"/>
        </left>
        <right style="thin">
          <color indexed="64"/>
        </right>
        <top/>
        <bottom/>
      </border>
      <protection locked="1" hidden="0"/>
    </dxf>
    <dxf>
      <font>
        <i/>
        <family val="2"/>
      </font>
      <protection locked="1" hidden="0"/>
    </dxf>
    <dxf>
      <font>
        <b/>
        <i/>
        <strike val="0"/>
        <condense val="0"/>
        <extend val="0"/>
        <outline val="0"/>
        <shadow val="0"/>
        <u val="none"/>
        <vertAlign val="baseline"/>
        <sz val="11"/>
        <color auto="1"/>
        <name val="Calibri"/>
        <family val="2"/>
        <scheme val="minor"/>
      </font>
      <fill>
        <patternFill patternType="solid">
          <fgColor indexed="64"/>
          <bgColor theme="0" tint="-0.34998626667073579"/>
        </patternFill>
      </fill>
      <alignment horizontal="general" vertical="bottom" textRotation="0" wrapText="1" indent="0" justifyLastLine="0" shrinkToFit="0" readingOrder="0"/>
      <protection locked="1" hidden="0"/>
    </dxf>
    <dxf>
      <fill>
        <patternFill>
          <bgColor theme="0" tint="-0.34998626667073579"/>
        </patternFill>
      </fill>
    </dxf>
    <dxf>
      <font>
        <b/>
        <color theme="1"/>
      </font>
      <border>
        <bottom style="thin">
          <color theme="0" tint="-0.34998626667073579"/>
        </bottom>
        <vertical/>
        <horizontal/>
      </border>
    </dxf>
    <dxf>
      <font>
        <b/>
        <i val="0"/>
        <color theme="1"/>
      </font>
      <border>
        <left/>
        <right/>
        <top/>
        <bottom/>
        <vertical/>
        <horizontal/>
      </border>
    </dxf>
    <dxf>
      <font>
        <b/>
        <i val="0"/>
      </font>
    </dxf>
    <dxf>
      <fill>
        <patternFill>
          <bgColor theme="2"/>
        </patternFill>
      </fill>
    </dxf>
  </dxfs>
  <tableStyles count="3" defaultTableStyle="TableStyleMedium2" defaultPivotStyle="PivotStyleLight16">
    <tableStyle name="Slicer Style 1" pivot="0" table="0" count="8" xr9:uid="{FB448B7B-929B-4E61-999B-BFF05AD6F9F2}">
      <tableStyleElement type="wholeTable" dxfId="684"/>
      <tableStyleElement type="headerRow" dxfId="683"/>
    </tableStyle>
    <tableStyle name="SlicerStyleOther1 2" pivot="0" table="0" count="10" xr9:uid="{BC6B4D5B-7B99-4DCE-A209-0B075EC4F262}">
      <tableStyleElement type="wholeTable" dxfId="682"/>
      <tableStyleElement type="headerRow" dxfId="681"/>
    </tableStyle>
    <tableStyle name="Table Style 1" pivot="0" count="1" xr9:uid="{B4DD0F25-BC7E-4AD0-9932-D7A55CD3EA85}">
      <tableStyleElement type="headerRow" dxfId="680"/>
    </tableStyle>
  </tableStyles>
  <colors>
    <mruColors>
      <color rgb="FFA94D0F"/>
    </mruColors>
  </colors>
  <extLst>
    <ext xmlns:x14="http://schemas.microsoft.com/office/spreadsheetml/2009/9/main" uri="{46F421CA-312F-682f-3DD2-61675219B42D}">
      <x14:dxfs count="14">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1"/>
          </font>
          <fill>
            <patternFill patternType="solid">
              <fgColor theme="0" tint="-0.14999847407452621"/>
              <bgColor theme="0" tint="-0.14999847407452621"/>
            </patternFill>
          </fill>
          <border>
            <left style="thin">
              <color rgb="FFCCCCCC"/>
            </left>
            <right style="thin">
              <color rgb="FFCCCCCC"/>
            </right>
            <top style="thin">
              <color rgb="FFCCCCCC"/>
            </top>
            <bottom style="thin">
              <color rgb="FFCCCCCC"/>
            </bottom>
            <vertical/>
            <horizontal/>
          </border>
        </dxf>
        <dxf>
          <font>
            <color theme="0"/>
          </font>
          <fill>
            <patternFill patternType="solid">
              <fgColor theme="0" tint="-0.249977111117893"/>
              <bgColor theme="1" tint="0.34998626667073579"/>
            </patternFill>
          </fill>
          <border>
            <left style="thin">
              <color rgb="FF999999"/>
            </left>
            <right style="thin">
              <color rgb="FF999999"/>
            </right>
            <top style="thin">
              <color rgb="FF999999"/>
            </top>
            <bottom style="thin">
              <color rgb="FF999999"/>
            </bottom>
            <vertical/>
            <horizontal/>
          </border>
        </dxf>
        <dxf>
          <font>
            <color rgb="FF959595"/>
          </font>
          <fill>
            <patternFill patternType="solid">
              <fgColor theme="0"/>
              <bgColor theme="0"/>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theme="0"/>
              <bgColor theme="2"/>
            </patternFill>
          </fill>
          <border>
            <left style="thin">
              <color rgb="FFCCCCCC"/>
            </left>
            <right style="thin">
              <color rgb="FFCCCCCC"/>
            </right>
            <top style="thin">
              <color rgb="FFCCCCCC"/>
            </top>
            <bottom style="thin">
              <color rgb="FFCCCCCC"/>
            </bottom>
            <vertical/>
            <horizontal/>
          </border>
        </dxf>
        <dxf>
          <font>
            <b/>
            <i val="0"/>
          </font>
        </dxf>
        <dxf>
          <font>
            <b/>
            <i val="0"/>
          </font>
        </dxf>
        <dxf>
          <font>
            <b/>
            <i val="0"/>
          </font>
        </dxf>
        <dxf>
          <font>
            <b/>
            <i val="0"/>
          </font>
        </dxf>
        <dxf>
          <font>
            <b/>
            <i val="0"/>
          </font>
          <fill>
            <patternFill>
              <bgColor theme="6"/>
            </patternFill>
          </fill>
        </dxf>
        <dxf>
          <font>
            <b/>
            <i val="0"/>
          </font>
          <border>
            <left style="thin">
              <color auto="1"/>
            </left>
            <right style="thin">
              <color auto="1"/>
            </right>
            <top style="thin">
              <color auto="1"/>
            </top>
            <bottom style="thin">
              <color auto="1"/>
            </bottom>
          </border>
        </dxf>
      </x14:dxfs>
    </ext>
    <ext xmlns:x14="http://schemas.microsoft.com/office/spreadsheetml/2009/9/main" uri="{EB79DEF2-80B8-43e5-95BD-54CBDDF9020C}">
      <x14:slicerStyles defaultSlicerStyle="SlicerStyleLight1">
        <x14:slicerStyle name="Slicer Style 1">
          <x14:slicerStyleElements>
            <x14:slicerStyleElement type="unselectedItemWithData" dxfId="13"/>
            <x14:slicerStyleElement type="selectedItemWithData" dxfId="12"/>
            <x14:slicerStyleElement type="hoveredUnselectedItemWithData" dxfId="11"/>
            <x14:slicerStyleElement type="hoveredSelectedItemWithData" dxfId="10"/>
            <x14:slicerStyleElement type="hoveredUnselectedItemWithNoData" dxfId="9"/>
            <x14:slicerStyleElement type="hoveredSelectedItemWithNoData" dxfId="8"/>
          </x14:slicerStyleElements>
        </x14:slicerStyle>
        <x14:slicerStyle name="SlicerStyleOther1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E277095B-0EFB-45CE-86C0-CFE4A3E5552A}" name="Table6233940107109121" displayName="Table6233940107109121" ref="A23:H34" totalsRowCount="1" headerRowDxfId="679" dataDxfId="678" totalsRowDxfId="677" totalsRowBorderDxfId="676">
  <autoFilter ref="A23:H33" xr:uid="{E277095B-0EFB-45CE-86C0-CFE4A3E5552A}"/>
  <tableColumns count="8">
    <tableColumn id="1" xr3:uid="{9E03C13C-F203-4F46-B89C-9DAADCC84C66}" name="Project Type" totalsRowLabel="Average" dataDxfId="675" totalsRowDxfId="674"/>
    <tableColumn id="7" xr3:uid="{5A63AE7B-AC42-4E7B-8F70-3D18D7E8EB2A}" name="Project Name" dataDxfId="673" totalsRowDxfId="672">
      <calculatedColumnFormula>'Project 1'!C10</calculatedColumnFormula>
    </tableColumn>
    <tableColumn id="3" xr3:uid="{E313FC46-6519-47B9-A21E-3582A6175836}" name="Annual Administrative Cost Per Unit" totalsRowFunction="average" dataDxfId="671" totalsRowDxfId="670">
      <calculatedColumnFormula>'Project 1'!#REF!</calculatedColumnFormula>
    </tableColumn>
    <tableColumn id="4" xr3:uid="{AD2542B5-800B-4965-A7E8-81B10CDF7771}" name="Annual Operations Cost Per Unit" totalsRowFunction="average" dataDxfId="669" totalsRowDxfId="668"/>
    <tableColumn id="5" xr3:uid="{7319973A-4A58-468D-81A0-CFBBC8DD6E98}" name="Annual Rental Assistance or Leasing Cost Per Unit" totalsRowFunction="average" dataDxfId="667" totalsRowDxfId="666"/>
    <tableColumn id="6" xr3:uid="{6F54BCFF-AD49-4D5A-9D45-F4243E20E0C3}" name="Annual Services Cost Per Unit" totalsRowFunction="average" dataDxfId="665" totalsRowDxfId="664"/>
    <tableColumn id="8" xr3:uid="{8BCAE48F-CBB7-4CD9-BDB7-C0659B7ED903}" name="Annual Other Costs Per Unit" totalsRowFunction="average" dataDxfId="663" totalsRowDxfId="662"/>
    <tableColumn id="2" xr3:uid="{B0CFE2F6-16F2-4565-AAED-C6E869F6515D}" name="Annual Cost Per Unit" totalsRowFunction="average" dataDxfId="661" totalsRowDxfId="660">
      <calculatedColumnFormula>SUM(Table6233940107109121[[#This Row],[Annual Administrative Cost Per Unit]:[Annual Other Costs Per Unit]])</calculatedColumnFormula>
    </tableColumn>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06F8554-0FA8-4E0E-BC30-B7513EF40B54}" name="Table6233940461081101225" displayName="Table6233940461081101225" ref="A51:H52" totalsRowShown="0" headerRowDxfId="574" dataDxfId="573" totalsRowDxfId="572" totalsRowBorderDxfId="571">
  <autoFilter ref="A51:H52" xr:uid="{906F8554-0FA8-4E0E-BC30-B7513EF40B54}"/>
  <tableColumns count="8">
    <tableColumn id="1" xr3:uid="{69D73DC8-6694-4B8C-8396-152CD2E3A249}" name="Model Project Type" dataDxfId="570" totalsRowDxfId="569">
      <calculatedColumnFormula>IF(ISBLANK(D10), "", D10)</calculatedColumnFormula>
    </tableColumn>
    <tableColumn id="7" xr3:uid="{BFCEA3ED-4D3E-451F-A42A-4D4497F98219}" name="Model Project Type Notes" dataDxfId="568" totalsRowDxfId="567"/>
    <tableColumn id="3" xr3:uid="{0BC841A4-58E5-43DD-B319-CDC56F41BB7D}" name="Average Annual Administrative Cost Per Unit" dataDxfId="566" totalsRowDxfId="565"/>
    <tableColumn id="4" xr3:uid="{377C4139-2979-4D2C-8E22-1416493B671B}" name="Average Annual Operations Cost Per Unit" dataDxfId="564" totalsRowDxfId="563"/>
    <tableColumn id="5" xr3:uid="{128076DA-FF5F-491D-96CC-F27A62671224}" name="Average Annual Rental Assistance or Leasing Cost Per Unit" dataDxfId="562" totalsRowDxfId="561"/>
    <tableColumn id="6" xr3:uid="{D888AAAD-59DA-4020-A138-E4A81614F0AC}" name="Average Annual Services Cost Per Unit" dataDxfId="560" totalsRowDxfId="559"/>
    <tableColumn id="8" xr3:uid="{7562753B-039B-45E3-AB86-8DDA664EE524}" name="Average Annual Other Costs Per Unit" dataDxfId="558" totalsRowDxfId="557"/>
    <tableColumn id="2" xr3:uid="{A459544C-1A1F-4C1C-B1B8-0EE744AAB872}" name="Average Annual Cost Per Unit" dataDxfId="556" totalsRowDxfId="555">
      <calculatedColumnFormula>SUM(Table6233940461081101225[[#This Row],[Average Annual Administrative Cost Per Unit]:[Average Annual Other Costs Per Unit]])</calculatedColumnFormula>
    </tableColumn>
  </tableColumns>
  <tableStyleInfo name="TableStyleLight1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A2D93D9-0CF1-427F-B01E-3E7826E4AD64}" name="Table16" displayName="Table16" ref="A40:C46" totalsRowShown="0" headerRowDxfId="554" dataDxfId="553">
  <autoFilter ref="A40:C46" xr:uid="{AA2D93D9-0CF1-427F-B01E-3E7826E4AD64}"/>
  <tableColumns count="3">
    <tableColumn id="1" xr3:uid="{810F4A23-51E4-42B8-B235-CF0BDA6FE73F}" name="Project Type" dataDxfId="552"/>
    <tableColumn id="2" xr3:uid="{529C0BFD-B7AE-4A13-920D-7597C83D55F3}" name="Project Name" dataDxfId="551"/>
    <tableColumn id="8" xr3:uid="{9AC00440-73AA-4F9B-86CA-7856743C52E5}" name="Annual Cost Per Unit" dataDxfId="550"/>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19B54DAC-050B-424B-BD73-135554CD4912}" name="Administrative17667176818691961011061111161231281331381431481531585196" displayName="Administrative17667176818691961011061111161231281331381431481531585196" ref="A26:H36" totalsRowShown="0" headerRowDxfId="549" dataDxfId="548" tableBorderDxfId="547" headerRowCellStyle="Accent3">
  <autoFilter ref="A26:H36" xr:uid="{19B54DAC-050B-424B-BD73-135554CD4912}"/>
  <tableColumns count="8">
    <tableColumn id="7" xr3:uid="{0C13A120-C11C-47FB-9743-3300CD6476FC}" name="Item" dataDxfId="546" dataCellStyle="60% - Accent3"/>
    <tableColumn id="1" xr3:uid="{76EAC3E5-9DEF-4CD1-8558-F0C628F7C272}" name="Notes" dataDxfId="545" dataCellStyle="60% - Accent3"/>
    <tableColumn id="2" xr3:uid="{34A50619-CA4C-421B-8185-F324CD35B495}" name="Duration" dataDxfId="544" dataCellStyle="Currency"/>
    <tableColumn id="3" xr3:uid="{9E7263F4-1B06-4431-825C-1C92C429CAF4}" name="Cost" dataDxfId="543" dataCellStyle="Currency"/>
    <tableColumn id="4" xr3:uid="{AD0478B4-01C2-4B23-A79B-A79C3A1718A1}" name="Frequency" dataDxfId="542"/>
    <tableColumn id="5" xr3:uid="{87041650-2ABA-4460-8035-78E7F6DBA909}" name="Unit" dataDxfId="541"/>
    <tableColumn id="6" xr3:uid="{355D863D-4044-411A-9944-539D3C07FF50}" name="Monthly Cost Per Unit" dataDxfId="540">
      <calculatedColumnFormula array="1">_xlfn.IFS(Administrative17667176818691961011061111161231281331381431481531585196[[#This Row],[Unit]]="Program-wide",((_xlfn.IFS(Administrative17667176818691961011061111161231281331381431481531585196[[#This Row],[Frequency]]="Per Year",Administrative17667176818691961011061111161231281331381431481531585196[[#This Row],[Cost]]/12,Administrative17667176818691961011061111161231281331381431481531585196[[#This Row],[Frequency]]="Per month",Administrative17667176818691961011061111161231281331381431481531585196[[#This Row],[Cost]],Administrative17667176818691961011061111161231281331381431481531585196[[#This Row],[Frequency]]="Per day",Administrative17667176818691961011061111161231281331381431481531585196[[#This Row],[Cost]]*30,Administrative17667176818691961011061111161231281331381431481531585196[[#This Row],[Frequency]]="One-time",Administrative17667176818691961011061111161231281331381431481531585196[[#This Row],[Cost]]/12))/$C$17),Administrative17667176818691961011061111161231281331381431481531585196[[#This Row],[Unit]]="Per unit/space/household",(_xlfn.IFS(Administrative17667176818691961011061111161231281331381431481531585196[[#This Row],[Frequency]]="Per Year",Administrative17667176818691961011061111161231281331381431481531585196[[#This Row],[Cost]]/12,Administrative17667176818691961011061111161231281331381431481531585196[[#This Row],[Frequency]]="Per month",Administrative17667176818691961011061111161231281331381431481531585196[[#This Row],[Cost]],Administrative17667176818691961011061111161231281331381431481531585196[[#This Row],[Frequency]]="Per day",Administrative17667176818691961011061111161231281331381431481531585196[[#This Row],[Cost]]*30,Administrative17667176818691961011061111161231281331381431481531585196[[#This Row],[Frequency]]="One-time",Administrative17667176818691961011061111161231281331381431481531585196[[#This Row],[Cost]]/SUM($C$18,$C$19))))</calculatedColumnFormula>
    </tableColumn>
    <tableColumn id="8" xr3:uid="{11537FFA-405C-4DA0-AEE8-174FB13024C1}" name="Annual Cost Per Unit" dataDxfId="539"/>
  </tableColumns>
  <tableStyleInfo name="TableStyleMedium18" showFirstColumn="0" showLastColumn="0" showRowStripes="0"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6CB780C3-AAFC-4045-B1BF-F7275B18078D}" name="Operations18677277828792971021071121171241291341391441491541595297" displayName="Operations18677277828792971021071121171241291341391441491541595297" ref="A40:H57" totalsRowShown="0" headerRowDxfId="538" dataDxfId="537" tableBorderDxfId="536" headerRowCellStyle="Accent3">
  <autoFilter ref="A40:H57" xr:uid="{6CB780C3-AAFC-4045-B1BF-F7275B18078D}"/>
  <tableColumns count="8">
    <tableColumn id="7" xr3:uid="{8C39EEFC-EC01-4E38-8280-ABC2CA530CA6}" name="Item" dataDxfId="535" dataCellStyle="60% - Accent3"/>
    <tableColumn id="1" xr3:uid="{01D39AB2-A59A-4CFC-98AB-5A74992D95E1}" name="Notes" dataDxfId="534" dataCellStyle="60% - Accent3"/>
    <tableColumn id="2" xr3:uid="{A2C65E55-398E-4D58-942A-2FA90AA9A834}" name="Duration" dataDxfId="533" dataCellStyle="Currency"/>
    <tableColumn id="3" xr3:uid="{264BB520-8BCF-443A-9FF4-FEDA1DC6FC4C}" name="Cost" dataDxfId="532" dataCellStyle="Currency"/>
    <tableColumn id="4" xr3:uid="{A9A68BED-931B-49B0-BB13-40DF67011ABA}" name="Frequency" dataDxfId="531"/>
    <tableColumn id="5" xr3:uid="{00598FF2-D89B-4269-B917-AB44AA69EE98}" name="Unit" dataDxfId="530"/>
    <tableColumn id="6" xr3:uid="{14A551CB-B77E-484B-886B-37579AAFE7A3}" name="Monthly Cost Per Unit" dataDxfId="529">
      <calculatedColumnFormula array="1">_xlfn.IFS(Operations18677277828792971021071121171241291341391441491541595297[[#This Row],[Unit]]="Program-wide",((_xlfn.IFS(Operations18677277828792971021071121171241291341391441491541595297[[#This Row],[Frequency]]="Per Year",Operations18677277828792971021071121171241291341391441491541595297[[#This Row],[Cost]]/12,Operations18677277828792971021071121171241291341391441491541595297[[#This Row],[Frequency]]="Per month",Operations18677277828792971021071121171241291341391441491541595297[[#This Row],[Cost]],Operations18677277828792971021071121171241291341391441491541595297[[#This Row],[Frequency]]="Per day",Operations18677277828792971021071121171241291341391441491541595297[[#This Row],[Cost]]*30,Operations18677277828792971021071121171241291341391441491541595297[[#This Row],[Frequency]]="One-time",Operations18677277828792971021071121171241291341391441491541595297[[#This Row],[Cost]]/12))/$C$17),Operations18677277828792971021071121171241291341391441491541595297[[#This Row],[Unit]]="Per unit/space/household",(_xlfn.IFS(Operations18677277828792971021071121171241291341391441491541595297[[#This Row],[Frequency]]="Per Year",Operations18677277828792971021071121171241291341391441491541595297[[#This Row],[Cost]]/12,Operations18677277828792971021071121171241291341391441491541595297[[#This Row],[Frequency]]="Per month",Operations18677277828792971021071121171241291341391441491541595297[[#This Row],[Cost]],Operations18677277828792971021071121171241291341391441491541595297[[#This Row],[Frequency]]="Per day",Operations18677277828792971021071121171241291341391441491541595297[[#This Row],[Cost]]*30,Operations18677277828792971021071121171241291341391441491541595297[[#This Row],[Frequency]]="One-time",Operations18677277828792971021071121171241291341391441491541595297[[#This Row],[Cost]]/SUM($C$18,$C$19))))</calculatedColumnFormula>
    </tableColumn>
    <tableColumn id="8" xr3:uid="{B41F24E5-48A1-4650-9183-EB87955BB0A2}" name="Annual Cost Per Unit" dataDxfId="528"/>
  </tableColumns>
  <tableStyleInfo name="TableStyleMedium18" showFirstColumn="0" showLastColumn="0" showRowStripes="0"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AA329B33-57FD-48F6-AB00-A97B2B95390F}" name="RentalAssistance19687378838893981031081131181251301351401451501551605398" displayName="RentalAssistance19687378838893981031081131181251301351401451501551605398" ref="A76:H90" totalsRowShown="0" headerRowDxfId="527" dataDxfId="526" tableBorderDxfId="525" headerRowCellStyle="Accent3">
  <autoFilter ref="A76:H90" xr:uid="{AA329B33-57FD-48F6-AB00-A97B2B95390F}"/>
  <tableColumns count="8">
    <tableColumn id="7" xr3:uid="{674DF6F8-B552-412A-8262-74B40033D48B}" name="Item" dataDxfId="524" dataCellStyle="60% - Accent3"/>
    <tableColumn id="1" xr3:uid="{2A91CFAD-F6D2-4C4F-A4D3-80D96258FEA5}" name="Notes" dataDxfId="523" dataCellStyle="60% - Accent3"/>
    <tableColumn id="2" xr3:uid="{D0EBC42D-16B7-41D9-A293-F77CD8794DBB}" name="Duration" dataDxfId="522" dataCellStyle="Currency"/>
    <tableColumn id="3" xr3:uid="{EAA99C80-1B5B-44C2-90CD-4C706C427844}" name="Cost" dataDxfId="521" dataCellStyle="Currency"/>
    <tableColumn id="4" xr3:uid="{67EC1838-3F91-4346-B2F5-9032E408278C}" name="Frequency" dataDxfId="520"/>
    <tableColumn id="5" xr3:uid="{FF6E50E0-8947-497D-8F10-DDE6F4185127}" name="Unit" dataDxfId="519"/>
    <tableColumn id="6" xr3:uid="{6129603E-1EF9-4ACC-B5F7-3215BD141986}" name="Monthly Cost Per Unit" dataDxfId="518">
      <calculatedColumnFormula array="1">_xlfn.IFS(RentalAssistance19687378838893981031081131181251301351401451501551605398[[#This Row],[Unit]]="Program-wide",((_xlfn.IFS(RentalAssistance19687378838893981031081131181251301351401451501551605398[[#This Row],[Frequency]]="Per Year",RentalAssistance19687378838893981031081131181251301351401451501551605398[[#This Row],[Cost]]/12,RentalAssistance19687378838893981031081131181251301351401451501551605398[[#This Row],[Frequency]]="Per month",RentalAssistance19687378838893981031081131181251301351401451501551605398[[#This Row],[Cost]],RentalAssistance19687378838893981031081131181251301351401451501551605398[[#This Row],[Frequency]]="Per day",RentalAssistance19687378838893981031081131181251301351401451501551605398[[#This Row],[Cost]]*30,RentalAssistance19687378838893981031081131181251301351401451501551605398[[#This Row],[Frequency]]="One-time",RentalAssistance19687378838893981031081131181251301351401451501551605398[[#This Row],[Cost]]/12))/$C$17),RentalAssistance19687378838893981031081131181251301351401451501551605398[[#This Row],[Unit]]="Per unit/space/household",(_xlfn.IFS(RentalAssistance19687378838893981031081131181251301351401451501551605398[[#This Row],[Frequency]]="Per Year",RentalAssistance19687378838893981031081131181251301351401451501551605398[[#This Row],[Cost]]/12,RentalAssistance19687378838893981031081131181251301351401451501551605398[[#This Row],[Frequency]]="Per month",RentalAssistance19687378838893981031081131181251301351401451501551605398[[#This Row],[Cost]],RentalAssistance19687378838893981031081131181251301351401451501551605398[[#This Row],[Frequency]]="Per day",RentalAssistance19687378838893981031081131181251301351401451501551605398[[#This Row],[Cost]]*30,RentalAssistance19687378838893981031081131181251301351401451501551605398[[#This Row],[Frequency]]="One-time",RentalAssistance19687378838893981031081131181251301351401451501551605398[[#This Row],[Cost]]/SUM($C$18,$C$19))))</calculatedColumnFormula>
    </tableColumn>
    <tableColumn id="8" xr3:uid="{5C68AE6C-759E-42EE-9CCC-580723E1FAC9}" name="Annual Cost Per Unit" dataDxfId="517"/>
  </tableColumns>
  <tableStyleInfo name="TableStyleMedium18" showFirstColumn="0" showLastColumn="0" showRowStripes="0"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721A933B-7FB9-4AF7-9A86-B2C64F3A4451}" name="Services110697479848994991041091141191261311361411461511561615499" displayName="Services110697479848994991041091141191261311361411461511561615499" ref="A94:H112" totalsRowShown="0" headerRowDxfId="516" dataDxfId="515" tableBorderDxfId="514" headerRowCellStyle="Accent3">
  <autoFilter ref="A94:H112" xr:uid="{721A933B-7FB9-4AF7-9A86-B2C64F3A4451}"/>
  <tableColumns count="8">
    <tableColumn id="7" xr3:uid="{402A7D4B-D1B8-4887-A94A-AB98346E2EA8}" name="Item" dataDxfId="513" dataCellStyle="60% - Accent3"/>
    <tableColumn id="1" xr3:uid="{E3887ED6-CE19-47F8-8455-7912F3A8966E}" name="Notes" dataDxfId="512" dataCellStyle="60% - Accent3"/>
    <tableColumn id="2" xr3:uid="{F3500AAE-39B3-45E0-80F4-1C55F1BE9B5A}" name="Duration" dataDxfId="511" dataCellStyle="Currency"/>
    <tableColumn id="3" xr3:uid="{D084EE9B-2B09-4708-8176-232D905EADF2}" name="Cost" dataDxfId="510" dataCellStyle="Currency"/>
    <tableColumn id="4" xr3:uid="{6221FDC8-F7D7-4842-9C8B-09C79A5A19FD}" name="Frequency" dataDxfId="509"/>
    <tableColumn id="5" xr3:uid="{309FE4F0-9570-4A42-84ED-0DA420C2F394}" name="Unit" dataDxfId="508"/>
    <tableColumn id="6" xr3:uid="{0EE6B014-2E5B-4EC3-A910-D3F2076C9A2D}" name="Monthly Cost Per Unit" dataDxfId="507">
      <calculatedColumnFormula array="1">_xlfn.IFS(Services110697479848994991041091141191261311361411461511561615499[[#This Row],[Unit]]="Program-wide",((_xlfn.IFS(Services110697479848994991041091141191261311361411461511561615499[[#This Row],[Frequency]]="Per Year",Services110697479848994991041091141191261311361411461511561615499[[#This Row],[Cost]]/12,Services110697479848994991041091141191261311361411461511561615499[[#This Row],[Frequency]]="Per month",Services110697479848994991041091141191261311361411461511561615499[[#This Row],[Cost]],Services110697479848994991041091141191261311361411461511561615499[[#This Row],[Frequency]]="Per day",Services110697479848994991041091141191261311361411461511561615499[[#This Row],[Cost]]*30,Services110697479848994991041091141191261311361411461511561615499[[#This Row],[Frequency]]="One-time",Services110697479848994991041091141191261311361411461511561615499[[#This Row],[Cost]]/12))/$C$17),Services110697479848994991041091141191261311361411461511561615499[[#This Row],[Unit]]="Per unit/space/household",(_xlfn.IFS(Services110697479848994991041091141191261311361411461511561615499[[#This Row],[Frequency]]="Per Year",Services110697479848994991041091141191261311361411461511561615499[[#This Row],[Cost]]/12,Services110697479848994991041091141191261311361411461511561615499[[#This Row],[Frequency]]="Per month",Services110697479848994991041091141191261311361411461511561615499[[#This Row],[Cost]],Services110697479848994991041091141191261311361411461511561615499[[#This Row],[Frequency]]="Per day",Services110697479848994991041091141191261311361411461511561615499[[#This Row],[Cost]]*30,Services110697479848994991041091141191261311361411461511561615499[[#This Row],[Frequency]]="One-time",Services110697479848994991041091141191261311361411461511561615499[[#This Row],[Cost]]/SUM($C$18,$C$19))))</calculatedColumnFormula>
    </tableColumn>
    <tableColumn id="8" xr3:uid="{BF2A089C-1863-4389-8515-530DE1F17D13}" name="Annual Cost Per Unit" dataDxfId="506" dataCellStyle="Currency"/>
  </tableColumns>
  <tableStyleInfo name="TableStyleMedium18" showFirstColumn="0" showLastColumn="0" showRowStripes="0"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0BE65341-BB48-4F08-9A48-2B4B031C391D}" name="Other11170758085909510010511011512012713213714214715215716255100" displayName="Other11170758085909510010511011512012713213714214715215716255100" ref="A116:H126" totalsRowShown="0" headerRowDxfId="505" dataDxfId="504" tableBorderDxfId="503" headerRowCellStyle="Accent3">
  <autoFilter ref="A116:H126" xr:uid="{0BE65341-BB48-4F08-9A48-2B4B031C391D}"/>
  <tableColumns count="8">
    <tableColumn id="7" xr3:uid="{EB9456D0-9E11-4241-A672-4B8FA38EACE1}" name="Item" dataDxfId="502" dataCellStyle="60% - Accent3"/>
    <tableColumn id="1" xr3:uid="{CAF9B360-6C72-49D8-90E5-6418CB53F0EF}" name="Notes" dataDxfId="501" dataCellStyle="60% - Accent3"/>
    <tableColumn id="2" xr3:uid="{D3724F2E-873C-4192-87A3-859A471FCDCF}" name="Duration" dataDxfId="500" dataCellStyle="Currency"/>
    <tableColumn id="3" xr3:uid="{A17C991C-C306-4F2E-9033-061DF5584E35}" name="Cost" dataDxfId="499" dataCellStyle="Currency"/>
    <tableColumn id="4" xr3:uid="{BE28C271-0115-412B-BCF3-6F3E8A2F99EE}" name="Frequency" dataDxfId="498"/>
    <tableColumn id="5" xr3:uid="{9699C3C1-E496-4DA4-B4D6-8BE98E182873}" name="Unit" dataDxfId="497"/>
    <tableColumn id="6" xr3:uid="{841A9A17-6239-476D-85C8-483291211BE8}" name="Monthly Cost Per Unit" dataDxfId="496">
      <calculatedColumnFormula array="1">_xlfn.IFS(Other11170758085909510010511011512012713213714214715215716255100[[#This Row],[Unit]]="Program-wide",((_xlfn.IFS(Other11170758085909510010511011512012713213714214715215716255100[[#This Row],[Frequency]]="Per Year",Other11170758085909510010511011512012713213714214715215716255100[[#This Row],[Cost]]/12,Other11170758085909510010511011512012713213714214715215716255100[[#This Row],[Frequency]]="Per month",Other11170758085909510010511011512012713213714214715215716255100[[#This Row],[Cost]],Other11170758085909510010511011512012713213714214715215716255100[[#This Row],[Frequency]]="Per day",Other11170758085909510010511011512012713213714214715215716255100[[#This Row],[Cost]]*30,Other11170758085909510010511011512012713213714214715215716255100[[#This Row],[Frequency]]="One-time",Other11170758085909510010511011512012713213714214715215716255100[[#This Row],[Cost]]/12))/$C$17),Other11170758085909510010511011512012713213714214715215716255100[[#This Row],[Unit]]="Per unit/space/household",(_xlfn.IFS(Other11170758085909510010511011512012713213714214715215716255100[[#This Row],[Frequency]]="Per Year",Other11170758085909510010511011512012713213714214715215716255100[[#This Row],[Cost]]/12,Other11170758085909510010511011512012713213714214715215716255100[[#This Row],[Frequency]]="Per month",Other11170758085909510010511011512012713213714214715215716255100[[#This Row],[Cost]],Other11170758085909510010511011512012713213714214715215716255100[[#This Row],[Frequency]]="Per day",Other11170758085909510010511011512012713213714214715215716255100[[#This Row],[Cost]]*30,Other11170758085909510010511011512012713213714214715215716255100[[#This Row],[Frequency]]="One-time",Other11170758085909510010511011512012713213714214715215716255100[[#This Row],[Cost]]/SUM($C$18,$C$19))))</calculatedColumnFormula>
    </tableColumn>
    <tableColumn id="8" xr3:uid="{6566D918-B4EF-46EA-AF83-DD8AFDB24331}" name="Annual Cost Per Unit" dataDxfId="495"/>
  </tableColumns>
  <tableStyleInfo name="TableStyleMedium18" showFirstColumn="0" showLastColumn="0" showRowStripes="0"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15660FAA-BD69-4CEC-A582-0B36F7C3A7A1}" name="Administrative1766717681869196101106111116123128133138143148153158519621" displayName="Administrative1766717681869196101106111116123128133138143148153158519621" ref="A26:H36" totalsRowShown="0" headerRowDxfId="494" dataDxfId="493" tableBorderDxfId="492" headerRowCellStyle="Accent3">
  <autoFilter ref="A26:H36" xr:uid="{15660FAA-BD69-4CEC-A582-0B36F7C3A7A1}"/>
  <tableColumns count="8">
    <tableColumn id="7" xr3:uid="{722CF8B5-7434-43D9-ABCB-3ACF8211083D}" name="Item" dataDxfId="491" dataCellStyle="60% - Accent3"/>
    <tableColumn id="1" xr3:uid="{9E7B7135-3C40-468F-B3F2-3D42240708B9}" name="Notes" dataDxfId="490" dataCellStyle="60% - Accent3"/>
    <tableColumn id="2" xr3:uid="{D9F98106-CCD2-4EE0-A3FF-430508C1998B}" name="Duration" dataDxfId="489" dataCellStyle="Currency"/>
    <tableColumn id="3" xr3:uid="{07FDF629-B22E-4AA2-9BC1-B30796159D94}" name="Cost" dataDxfId="488" dataCellStyle="Currency"/>
    <tableColumn id="4" xr3:uid="{252D57C0-3732-4D7F-8939-996592879BFE}" name="Frequency" dataDxfId="487"/>
    <tableColumn id="5" xr3:uid="{D4851531-AA30-4A67-A118-065AC9BBFF42}" name="Unit" dataDxfId="486"/>
    <tableColumn id="6" xr3:uid="{6200E20C-233D-40A5-9558-16A99C6BF177}" name="Monthly Cost Per Unit" dataDxfId="485">
      <calculatedColumnFormula array="1">_xlfn.IFS(Administrative1766717681869196101106111116123128133138143148153158519621[[#This Row],[Unit]]="Program-wide",((_xlfn.IFS(Administrative1766717681869196101106111116123128133138143148153158519621[[#This Row],[Frequency]]="Per Year",Administrative1766717681869196101106111116123128133138143148153158519621[[#This Row],[Cost]]/12,Administrative1766717681869196101106111116123128133138143148153158519621[[#This Row],[Frequency]]="Per month",Administrative1766717681869196101106111116123128133138143148153158519621[[#This Row],[Cost]],Administrative1766717681869196101106111116123128133138143148153158519621[[#This Row],[Frequency]]="Per day",Administrative1766717681869196101106111116123128133138143148153158519621[[#This Row],[Cost]]*30,Administrative1766717681869196101106111116123128133138143148153158519621[[#This Row],[Frequency]]="One-time",Administrative1766717681869196101106111116123128133138143148153158519621[[#This Row],[Cost]]/12))/$C$17),Administrative1766717681869196101106111116123128133138143148153158519621[[#This Row],[Unit]]="Per unit/space/household",(_xlfn.IFS(Administrative1766717681869196101106111116123128133138143148153158519621[[#This Row],[Frequency]]="Per Year",Administrative1766717681869196101106111116123128133138143148153158519621[[#This Row],[Cost]]/12,Administrative1766717681869196101106111116123128133138143148153158519621[[#This Row],[Frequency]]="Per month",Administrative1766717681869196101106111116123128133138143148153158519621[[#This Row],[Cost]],Administrative1766717681869196101106111116123128133138143148153158519621[[#This Row],[Frequency]]="Per day",Administrative1766717681869196101106111116123128133138143148153158519621[[#This Row],[Cost]]*30,Administrative1766717681869196101106111116123128133138143148153158519621[[#This Row],[Frequency]]="One-time",Administrative1766717681869196101106111116123128133138143148153158519621[[#This Row],[Cost]]/SUM($C$18,$C$19))))</calculatedColumnFormula>
    </tableColumn>
    <tableColumn id="8" xr3:uid="{C5096E8E-F569-4908-8459-696C8A96E585}" name="Annual Cost Per Unit" dataDxfId="484"/>
  </tableColumns>
  <tableStyleInfo name="TableStyleMedium18" showFirstColumn="0" showLastColumn="0" showRowStripes="0"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1B469823-A9E0-4873-946C-21AC54EE891F}" name="Operations1867727782879297102107112117124129134139144149154159529722" displayName="Operations1867727782879297102107112117124129134139144149154159529722" ref="A40:H57" totalsRowShown="0" headerRowDxfId="483" dataDxfId="482" tableBorderDxfId="481" headerRowCellStyle="Accent3">
  <autoFilter ref="A40:H57" xr:uid="{1B469823-A9E0-4873-946C-21AC54EE891F}"/>
  <tableColumns count="8">
    <tableColumn id="7" xr3:uid="{67ABEB20-2AD1-4F39-9AD6-81347A84DA8A}" name="Item" dataDxfId="480" dataCellStyle="60% - Accent3"/>
    <tableColumn id="1" xr3:uid="{BFEEAC16-BA02-4E1B-B9FD-4DE89E8C67EA}" name="Notes" dataDxfId="479" dataCellStyle="60% - Accent3"/>
    <tableColumn id="2" xr3:uid="{DFFF4B20-40EF-4074-BE12-7A212B215BDB}" name="Duration" dataDxfId="478" dataCellStyle="Currency"/>
    <tableColumn id="3" xr3:uid="{5272C66B-D799-47D3-8E5F-BEE8A9FE318A}" name="Cost" dataDxfId="477" dataCellStyle="Currency"/>
    <tableColumn id="4" xr3:uid="{7E2B0661-0EBD-4AF5-86C3-DC6D7D36A840}" name="Frequency" dataDxfId="476"/>
    <tableColumn id="5" xr3:uid="{A86F7FF7-00FD-4126-A48A-F7BB021BC9CB}" name="Unit" dataDxfId="475"/>
    <tableColumn id="6" xr3:uid="{0807471B-6684-4253-81A8-2A7E70A306FB}" name="Monthly Cost Per Unit" dataDxfId="474">
      <calculatedColumnFormula array="1">_xlfn.IFS(Operations1867727782879297102107112117124129134139144149154159529722[[#This Row],[Unit]]="Program-wide",((_xlfn.IFS(Operations1867727782879297102107112117124129134139144149154159529722[[#This Row],[Frequency]]="Per Year",Operations1867727782879297102107112117124129134139144149154159529722[[#This Row],[Cost]]/12,Operations1867727782879297102107112117124129134139144149154159529722[[#This Row],[Frequency]]="Per month",Operations1867727782879297102107112117124129134139144149154159529722[[#This Row],[Cost]],Operations1867727782879297102107112117124129134139144149154159529722[[#This Row],[Frequency]]="Per day",Operations1867727782879297102107112117124129134139144149154159529722[[#This Row],[Cost]]*30,Operations1867727782879297102107112117124129134139144149154159529722[[#This Row],[Frequency]]="One-time",Operations1867727782879297102107112117124129134139144149154159529722[[#This Row],[Cost]]/12))/$C$17),Operations1867727782879297102107112117124129134139144149154159529722[[#This Row],[Unit]]="Per unit/space/household",(_xlfn.IFS(Operations1867727782879297102107112117124129134139144149154159529722[[#This Row],[Frequency]]="Per Year",Operations1867727782879297102107112117124129134139144149154159529722[[#This Row],[Cost]]/12,Operations1867727782879297102107112117124129134139144149154159529722[[#This Row],[Frequency]]="Per month",Operations1867727782879297102107112117124129134139144149154159529722[[#This Row],[Cost]],Operations1867727782879297102107112117124129134139144149154159529722[[#This Row],[Frequency]]="Per day",Operations1867727782879297102107112117124129134139144149154159529722[[#This Row],[Cost]]*30,Operations1867727782879297102107112117124129134139144149154159529722[[#This Row],[Frequency]]="One-time",Operations1867727782879297102107112117124129134139144149154159529722[[#This Row],[Cost]]/SUM($C$18,$C$19))))</calculatedColumnFormula>
    </tableColumn>
    <tableColumn id="8" xr3:uid="{E3AA2845-DE78-4BC8-9E5B-DBB8BA453401}" name="Annual Cost Per Unit" dataDxfId="473"/>
  </tableColumns>
  <tableStyleInfo name="TableStyleMedium18" showFirstColumn="0" showLastColumn="0" showRowStripes="0"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C2CDD59B-C1C8-4EDD-9978-9525D31A8096}" name="RentalAssistance1968737883889398103108113118125130135140145150155160539823" displayName="RentalAssistance1968737883889398103108113118125130135140145150155160539823" ref="A76:H90" totalsRowShown="0" headerRowDxfId="472" dataDxfId="471" tableBorderDxfId="470" headerRowCellStyle="Accent3">
  <autoFilter ref="A76:H90" xr:uid="{C2CDD59B-C1C8-4EDD-9978-9525D31A8096}"/>
  <tableColumns count="8">
    <tableColumn id="7" xr3:uid="{6A38AD3A-F38A-4993-9292-A85FDB8C8296}" name="Item" dataDxfId="469" dataCellStyle="60% - Accent3"/>
    <tableColumn id="1" xr3:uid="{BA931643-9B70-4AD2-8E2C-101652ED0076}" name="Notes" dataDxfId="468" dataCellStyle="60% - Accent3"/>
    <tableColumn id="2" xr3:uid="{9D22D9C0-11C4-4C47-B09E-F29128BE7135}" name="Duration" dataDxfId="467" dataCellStyle="Currency"/>
    <tableColumn id="3" xr3:uid="{575B143A-9DC7-476E-87FE-5067BE30175E}" name="Cost" dataDxfId="466" dataCellStyle="Currency"/>
    <tableColumn id="4" xr3:uid="{3B822845-5187-4AAE-A4DD-C3CEF5775DE4}" name="Frequency" dataDxfId="465"/>
    <tableColumn id="5" xr3:uid="{8B9A3291-2907-4E22-9535-DC62B612598B}" name="Unit" dataDxfId="464"/>
    <tableColumn id="6" xr3:uid="{D71B4A27-8A2B-4185-9D5A-3765D78221A6}" name="Monthly Cost Per Unit" dataDxfId="463">
      <calculatedColumnFormula array="1">_xlfn.IFS(RentalAssistance1968737883889398103108113118125130135140145150155160539823[[#This Row],[Unit]]="Program-wide",((_xlfn.IFS(RentalAssistance1968737883889398103108113118125130135140145150155160539823[[#This Row],[Frequency]]="Per Year",RentalAssistance1968737883889398103108113118125130135140145150155160539823[[#This Row],[Cost]]/12,RentalAssistance1968737883889398103108113118125130135140145150155160539823[[#This Row],[Frequency]]="Per month",RentalAssistance1968737883889398103108113118125130135140145150155160539823[[#This Row],[Cost]],RentalAssistance1968737883889398103108113118125130135140145150155160539823[[#This Row],[Frequency]]="Per day",RentalAssistance1968737883889398103108113118125130135140145150155160539823[[#This Row],[Cost]]*30,RentalAssistance1968737883889398103108113118125130135140145150155160539823[[#This Row],[Frequency]]="One-time",RentalAssistance1968737883889398103108113118125130135140145150155160539823[[#This Row],[Cost]]/12))/$C$17),RentalAssistance1968737883889398103108113118125130135140145150155160539823[[#This Row],[Unit]]="Per unit/space/household",(_xlfn.IFS(RentalAssistance1968737883889398103108113118125130135140145150155160539823[[#This Row],[Frequency]]="Per Year",RentalAssistance1968737883889398103108113118125130135140145150155160539823[[#This Row],[Cost]]/12,RentalAssistance1968737883889398103108113118125130135140145150155160539823[[#This Row],[Frequency]]="Per month",RentalAssistance1968737883889398103108113118125130135140145150155160539823[[#This Row],[Cost]],RentalAssistance1968737883889398103108113118125130135140145150155160539823[[#This Row],[Frequency]]="Per day",RentalAssistance1968737883889398103108113118125130135140145150155160539823[[#This Row],[Cost]]*30,RentalAssistance1968737883889398103108113118125130135140145150155160539823[[#This Row],[Frequency]]="One-time",RentalAssistance1968737883889398103108113118125130135140145150155160539823[[#This Row],[Cost]]/SUM($C$18,$C$19))))</calculatedColumnFormula>
    </tableColumn>
    <tableColumn id="8" xr3:uid="{F43BD0C8-4B74-4EDA-B502-6CD2BA12B87E}" name="Annual Cost Per Unit" dataDxfId="462"/>
  </tableColumns>
  <tableStyleInfo name="TableStyleMedium18"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1" xr:uid="{73A54DB1-C282-4B86-A5D9-8CE9FBFBB879}" name="Table623394046108110122" displayName="Table623394046108110122" ref="A51:H52" totalsRowShown="0" headerRowDxfId="659" dataDxfId="658" totalsRowDxfId="657" totalsRowBorderDxfId="656">
  <autoFilter ref="A51:H52" xr:uid="{73A54DB1-C282-4B86-A5D9-8CE9FBFBB879}"/>
  <tableColumns count="8">
    <tableColumn id="1" xr3:uid="{FA03126F-0773-4382-BFF5-9273AF4D8B04}" name="Model Project Type" dataDxfId="655" totalsRowDxfId="654">
      <calculatedColumnFormula>IF(ISBLANK(D10), "", D10)</calculatedColumnFormula>
    </tableColumn>
    <tableColumn id="7" xr3:uid="{4AF0C6AC-558A-4BA1-8ECD-EE710BCDB500}" name="Model Project Type Notes" dataDxfId="653" totalsRowDxfId="652"/>
    <tableColumn id="3" xr3:uid="{CB72CAD9-4F86-4B1F-8C9D-475E1DA35E66}" name="Average Annual Administrative Cost Per Unit" dataDxfId="651" totalsRowDxfId="650"/>
    <tableColumn id="4" xr3:uid="{CCBC1538-E194-4E86-8214-1D60D1BD9439}" name="Average Annual Operations Cost Per Unit" dataDxfId="649" totalsRowDxfId="648"/>
    <tableColumn id="5" xr3:uid="{77EFB428-CB44-49AC-B5D2-DEF0C7B784B3}" name="Average Annual Rental Assistance or Leasing Cost Per Unit" dataDxfId="647" totalsRowDxfId="646"/>
    <tableColumn id="6" xr3:uid="{CB35A512-10C4-4CCF-84EB-EF7984816DBC}" name="Average Annual Services Cost Per Unit" dataDxfId="645" totalsRowDxfId="644"/>
    <tableColumn id="8" xr3:uid="{6C1A9D91-B737-4F41-874E-68ED868E9454}" name="Average Annual Other Costs Per Unit" dataDxfId="643" totalsRowDxfId="642"/>
    <tableColumn id="2" xr3:uid="{FF7FE67F-E644-4E1E-B527-3565C83CDAA8}" name="Average Annual Cost Per Unit" dataDxfId="641" totalsRowDxfId="640">
      <calculatedColumnFormula>SUM(Table623394046108110122[[#This Row],[Average Annual Administrative Cost Per Unit]:[Average Annual Other Costs Per Unit]])</calculatedColumnFormula>
    </tableColumn>
  </tableColumns>
  <tableStyleInfo name="TableStyleLight1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5CAA0FFD-1F0A-4C21-85C0-5A77037185BD}" name="Services11069747984899499104109114119126131136141146151156161549924" displayName="Services11069747984899499104109114119126131136141146151156161549924" ref="A94:H112" totalsRowShown="0" headerRowDxfId="461" dataDxfId="460" tableBorderDxfId="459" headerRowCellStyle="Accent3">
  <autoFilter ref="A94:H112" xr:uid="{5CAA0FFD-1F0A-4C21-85C0-5A77037185BD}"/>
  <tableColumns count="8">
    <tableColumn id="7" xr3:uid="{D722D6B0-1682-4B11-B6D5-E5F22C47C937}" name="Item" dataDxfId="458" dataCellStyle="60% - Accent3"/>
    <tableColumn id="1" xr3:uid="{C736FEC7-8CAA-4B65-B56B-6C3CE448651F}" name="Notes" dataDxfId="457" dataCellStyle="60% - Accent3"/>
    <tableColumn id="2" xr3:uid="{54F9B245-B95C-4343-A8E6-D5D8C3315FCB}" name="Duration" dataDxfId="456" dataCellStyle="Currency"/>
    <tableColumn id="3" xr3:uid="{E572511A-F23E-4411-B398-FCF7A53AB0D2}" name="Cost" dataDxfId="455" dataCellStyle="Currency"/>
    <tableColumn id="4" xr3:uid="{918886EC-02A1-419A-8F82-3D2E9D6AEE9B}" name="Frequency" dataDxfId="454"/>
    <tableColumn id="5" xr3:uid="{55E867BB-AFC2-40D4-8B70-966FFAB3EEFB}" name="Unit" dataDxfId="453"/>
    <tableColumn id="6" xr3:uid="{5B15D97F-9793-4BAF-89A4-1C8920D002EC}" name="Monthly Cost Per Unit" dataDxfId="452">
      <calculatedColumnFormula array="1">_xlfn.IFS(Services11069747984899499104109114119126131136141146151156161549924[[#This Row],[Unit]]="Program-wide",((_xlfn.IFS(Services11069747984899499104109114119126131136141146151156161549924[[#This Row],[Frequency]]="Per Year",Services11069747984899499104109114119126131136141146151156161549924[[#This Row],[Cost]]/12,Services11069747984899499104109114119126131136141146151156161549924[[#This Row],[Frequency]]="Per month",Services11069747984899499104109114119126131136141146151156161549924[[#This Row],[Cost]],Services11069747984899499104109114119126131136141146151156161549924[[#This Row],[Frequency]]="Per day",Services11069747984899499104109114119126131136141146151156161549924[[#This Row],[Cost]]*30,Services11069747984899499104109114119126131136141146151156161549924[[#This Row],[Frequency]]="One-time",Services11069747984899499104109114119126131136141146151156161549924[[#This Row],[Cost]]/12))/$C$17),Services11069747984899499104109114119126131136141146151156161549924[[#This Row],[Unit]]="Per unit/space/household",(_xlfn.IFS(Services11069747984899499104109114119126131136141146151156161549924[[#This Row],[Frequency]]="Per Year",Services11069747984899499104109114119126131136141146151156161549924[[#This Row],[Cost]]/12,Services11069747984899499104109114119126131136141146151156161549924[[#This Row],[Frequency]]="Per month",Services11069747984899499104109114119126131136141146151156161549924[[#This Row],[Cost]],Services11069747984899499104109114119126131136141146151156161549924[[#This Row],[Frequency]]="Per day",Services11069747984899499104109114119126131136141146151156161549924[[#This Row],[Cost]]*30,Services11069747984899499104109114119126131136141146151156161549924[[#This Row],[Frequency]]="One-time",Services11069747984899499104109114119126131136141146151156161549924[[#This Row],[Cost]]/SUM($C$18,$C$19))))</calculatedColumnFormula>
    </tableColumn>
    <tableColumn id="8" xr3:uid="{0BDFE69A-EBC9-4038-AA55-79DF575D9C23}" name="Annual Cost Per Unit" dataDxfId="451" dataCellStyle="Currency"/>
  </tableColumns>
  <tableStyleInfo name="TableStyleMedium18" showFirstColumn="0" showLastColumn="0" showRowStripes="0"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18CB4552-090C-4455-AEBD-094643737089}" name="Other1117075808590951001051101151201271321371421471521571625510025" displayName="Other1117075808590951001051101151201271321371421471521571625510025" ref="A116:H126" totalsRowShown="0" headerRowDxfId="450" dataDxfId="449" tableBorderDxfId="448" headerRowCellStyle="Accent3">
  <autoFilter ref="A116:H126" xr:uid="{18CB4552-090C-4455-AEBD-094643737089}"/>
  <tableColumns count="8">
    <tableColumn id="7" xr3:uid="{1F49F90B-AAD6-4451-B401-B107B25F9729}" name="Item" dataDxfId="447" dataCellStyle="60% - Accent3"/>
    <tableColumn id="1" xr3:uid="{03FED725-6E09-4725-A647-1084CD5906F9}" name="Notes" dataDxfId="446" dataCellStyle="60% - Accent3"/>
    <tableColumn id="2" xr3:uid="{7AAF4A1A-81FE-40D8-90E4-93DFC2F4FF0E}" name="Duration" dataDxfId="445" dataCellStyle="Currency"/>
    <tableColumn id="3" xr3:uid="{B34E7C65-40AE-485F-9AE9-42B3E1E06C49}" name="Cost" dataDxfId="444" dataCellStyle="Currency"/>
    <tableColumn id="4" xr3:uid="{B2B0F3C9-15DA-4F9B-A3A7-701A47B26EEE}" name="Frequency" dataDxfId="443"/>
    <tableColumn id="5" xr3:uid="{9C235051-110B-43B7-98C7-96573D9F26F1}" name="Unit" dataDxfId="442"/>
    <tableColumn id="6" xr3:uid="{07FFDCDD-1D02-45FA-9B69-EB1041DEC38E}" name="Monthly Cost Per Unit" dataDxfId="441">
      <calculatedColumnFormula array="1">_xlfn.IFS(Other1117075808590951001051101151201271321371421471521571625510025[[#This Row],[Unit]]="Program-wide",((_xlfn.IFS(Other1117075808590951001051101151201271321371421471521571625510025[[#This Row],[Frequency]]="Per Year",Other1117075808590951001051101151201271321371421471521571625510025[[#This Row],[Cost]]/12,Other1117075808590951001051101151201271321371421471521571625510025[[#This Row],[Frequency]]="Per month",Other1117075808590951001051101151201271321371421471521571625510025[[#This Row],[Cost]],Other1117075808590951001051101151201271321371421471521571625510025[[#This Row],[Frequency]]="Per day",Other1117075808590951001051101151201271321371421471521571625510025[[#This Row],[Cost]]*30,Other1117075808590951001051101151201271321371421471521571625510025[[#This Row],[Frequency]]="One-time",Other1117075808590951001051101151201271321371421471521571625510025[[#This Row],[Cost]]/12))/$C$17),Other1117075808590951001051101151201271321371421471521571625510025[[#This Row],[Unit]]="Per unit/space/household",(_xlfn.IFS(Other1117075808590951001051101151201271321371421471521571625510025[[#This Row],[Frequency]]="Per Year",Other1117075808590951001051101151201271321371421471521571625510025[[#This Row],[Cost]]/12,Other1117075808590951001051101151201271321371421471521571625510025[[#This Row],[Frequency]]="Per month",Other1117075808590951001051101151201271321371421471521571625510025[[#This Row],[Cost]],Other1117075808590951001051101151201271321371421471521571625510025[[#This Row],[Frequency]]="Per day",Other1117075808590951001051101151201271321371421471521571625510025[[#This Row],[Cost]]*30,Other1117075808590951001051101151201271321371421471521571625510025[[#This Row],[Frequency]]="One-time",Other1117075808590951001051101151201271321371421471521571625510025[[#This Row],[Cost]]/SUM($C$18,$C$19))))</calculatedColumnFormula>
    </tableColumn>
    <tableColumn id="8" xr3:uid="{AEBA70DE-9621-41AD-9CD0-BB00759B5F2A}" name="Annual Cost Per Unit" dataDxfId="440"/>
  </tableColumns>
  <tableStyleInfo name="TableStyleMedium18" showFirstColumn="0" showLastColumn="0" showRowStripes="0"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9ABEB79F-0FF8-444E-AEC3-5362BFE1125C}" name="Administrative176671768186919610110611111612312813313814314815315851962126" displayName="Administrative176671768186919610110611111612312813313814314815315851962126" ref="A26:H36" totalsRowShown="0" headerRowDxfId="439" dataDxfId="438" tableBorderDxfId="437" headerRowCellStyle="Accent3">
  <autoFilter ref="A26:H36" xr:uid="{9ABEB79F-0FF8-444E-AEC3-5362BFE1125C}"/>
  <tableColumns count="8">
    <tableColumn id="7" xr3:uid="{2910D983-64DA-462B-BD84-FF7684821348}" name="Item" dataDxfId="436" dataCellStyle="60% - Accent3"/>
    <tableColumn id="1" xr3:uid="{70936A5B-1845-4DB3-A4FB-4664A1D522CE}" name="Notes" dataDxfId="435" dataCellStyle="60% - Accent3"/>
    <tableColumn id="2" xr3:uid="{7086D953-2027-40E8-88BD-12831ECD0B62}" name="Duration" dataDxfId="434" dataCellStyle="Currency"/>
    <tableColumn id="3" xr3:uid="{74F8B91B-9285-4078-86FD-8C037ECCE5C9}" name="Cost" dataDxfId="433" dataCellStyle="Currency"/>
    <tableColumn id="4" xr3:uid="{5820F086-2340-4635-850D-E1D5D26BDCA1}" name="Frequency" dataDxfId="432"/>
    <tableColumn id="5" xr3:uid="{E611ADA2-5C70-4F32-8276-ED0996785A8C}" name="Unit" dataDxfId="431"/>
    <tableColumn id="6" xr3:uid="{01F9FD98-D13E-4C4D-B3C5-B63CAB497003}" name="Monthly Cost Per Unit" dataDxfId="430">
      <calculatedColumnFormula array="1">_xlfn.IFS(Administrative176671768186919610110611111612312813313814314815315851962126[[#This Row],[Unit]]="Program-wide",((_xlfn.IFS(Administrative176671768186919610110611111612312813313814314815315851962126[[#This Row],[Frequency]]="Per Year",Administrative176671768186919610110611111612312813313814314815315851962126[[#This Row],[Cost]]/12,Administrative176671768186919610110611111612312813313814314815315851962126[[#This Row],[Frequency]]="Per month",Administrative176671768186919610110611111612312813313814314815315851962126[[#This Row],[Cost]],Administrative176671768186919610110611111612312813313814314815315851962126[[#This Row],[Frequency]]="Per day",Administrative176671768186919610110611111612312813313814314815315851962126[[#This Row],[Cost]]*30,Administrative176671768186919610110611111612312813313814314815315851962126[[#This Row],[Frequency]]="One-time",Administrative176671768186919610110611111612312813313814314815315851962126[[#This Row],[Cost]]/12))/$C$17),Administrative176671768186919610110611111612312813313814314815315851962126[[#This Row],[Unit]]="Per unit/space/household",(_xlfn.IFS(Administrative176671768186919610110611111612312813313814314815315851962126[[#This Row],[Frequency]]="Per Year",Administrative176671768186919610110611111612312813313814314815315851962126[[#This Row],[Cost]]/12,Administrative176671768186919610110611111612312813313814314815315851962126[[#This Row],[Frequency]]="Per month",Administrative176671768186919610110611111612312813313814314815315851962126[[#This Row],[Cost]],Administrative176671768186919610110611111612312813313814314815315851962126[[#This Row],[Frequency]]="Per day",Administrative176671768186919610110611111612312813313814314815315851962126[[#This Row],[Cost]]*30,Administrative176671768186919610110611111612312813313814314815315851962126[[#This Row],[Frequency]]="One-time",Administrative176671768186919610110611111612312813313814314815315851962126[[#This Row],[Cost]]/SUM($C$18,$C$19))))</calculatedColumnFormula>
    </tableColumn>
    <tableColumn id="8" xr3:uid="{06E15C52-6C0E-4449-B7FA-7806E7490686}" name="Annual Cost Per Unit" dataDxfId="429"/>
  </tableColumns>
  <tableStyleInfo name="TableStyleMedium18" showFirstColumn="0" showLastColumn="0" showRowStripes="0"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94504233-0C8C-45EC-9D60-4B4E98244B90}" name="Operations186772778287929710210711211712412913413914414915415952972227" displayName="Operations186772778287929710210711211712412913413914414915415952972227" ref="A40:H57" totalsRowShown="0" headerRowDxfId="428" dataDxfId="427" tableBorderDxfId="426" headerRowCellStyle="Accent3">
  <autoFilter ref="A40:H57" xr:uid="{94504233-0C8C-45EC-9D60-4B4E98244B90}"/>
  <tableColumns count="8">
    <tableColumn id="7" xr3:uid="{4A1921DC-20D2-4E37-851A-169B9A34B2D2}" name="Item" dataDxfId="425" dataCellStyle="60% - Accent3"/>
    <tableColumn id="1" xr3:uid="{103B6ECF-4FE7-4E21-975E-CFCD8062B8E8}" name="Notes" dataDxfId="424" dataCellStyle="60% - Accent3"/>
    <tableColumn id="2" xr3:uid="{CE499F19-5287-4BAA-80C6-B3A3794F81FE}" name="Duration" dataDxfId="423" dataCellStyle="Currency"/>
    <tableColumn id="3" xr3:uid="{EDE88347-D4AF-43C7-AD30-8AE6E160CAAA}" name="Cost" dataDxfId="422" dataCellStyle="Currency"/>
    <tableColumn id="4" xr3:uid="{BB8F2AF3-E9DB-4B35-B970-80A913242770}" name="Frequency" dataDxfId="421"/>
    <tableColumn id="5" xr3:uid="{C3B5A513-AC8B-4C7A-80C5-F07655FB24C4}" name="Unit" dataDxfId="420"/>
    <tableColumn id="6" xr3:uid="{7F380A55-7453-4685-8D5A-796DE9C0B431}" name="Monthly Cost Per Unit" dataDxfId="419">
      <calculatedColumnFormula array="1">_xlfn.IFS(Operations186772778287929710210711211712412913413914414915415952972227[[#This Row],[Unit]]="Program-wide",((_xlfn.IFS(Operations186772778287929710210711211712412913413914414915415952972227[[#This Row],[Frequency]]="Per Year",Operations186772778287929710210711211712412913413914414915415952972227[[#This Row],[Cost]]/12,Operations186772778287929710210711211712412913413914414915415952972227[[#This Row],[Frequency]]="Per month",Operations186772778287929710210711211712412913413914414915415952972227[[#This Row],[Cost]],Operations186772778287929710210711211712412913413914414915415952972227[[#This Row],[Frequency]]="Per day",Operations186772778287929710210711211712412913413914414915415952972227[[#This Row],[Cost]]*30,Operations186772778287929710210711211712412913413914414915415952972227[[#This Row],[Frequency]]="One-time",Operations186772778287929710210711211712412913413914414915415952972227[[#This Row],[Cost]]/12))/$C$17),Operations186772778287929710210711211712412913413914414915415952972227[[#This Row],[Unit]]="Per unit/space/household",(_xlfn.IFS(Operations186772778287929710210711211712412913413914414915415952972227[[#This Row],[Frequency]]="Per Year",Operations186772778287929710210711211712412913413914414915415952972227[[#This Row],[Cost]]/12,Operations186772778287929710210711211712412913413914414915415952972227[[#This Row],[Frequency]]="Per month",Operations186772778287929710210711211712412913413914414915415952972227[[#This Row],[Cost]],Operations186772778287929710210711211712412913413914414915415952972227[[#This Row],[Frequency]]="Per day",Operations186772778287929710210711211712412913413914414915415952972227[[#This Row],[Cost]]*30,Operations186772778287929710210711211712412913413914414915415952972227[[#This Row],[Frequency]]="One-time",Operations186772778287929710210711211712412913413914414915415952972227[[#This Row],[Cost]]/SUM($C$18,$C$19))))</calculatedColumnFormula>
    </tableColumn>
    <tableColumn id="8" xr3:uid="{CDC552EF-6D68-4462-8FFA-2584478361AC}" name="Annual Cost Per Unit" dataDxfId="418"/>
  </tableColumns>
  <tableStyleInfo name="TableStyleMedium18" showFirstColumn="0" showLastColumn="0" showRowStripes="0"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5CF63570-822D-41AF-8B5F-557E7BF5B789}" name="RentalAssistance196873788388939810310811311812513013514014515015516053982328" displayName="RentalAssistance196873788388939810310811311812513013514014515015516053982328" ref="A76:H90" totalsRowShown="0" headerRowDxfId="417" dataDxfId="416" tableBorderDxfId="415" headerRowCellStyle="Accent3">
  <autoFilter ref="A76:H90" xr:uid="{5CF63570-822D-41AF-8B5F-557E7BF5B789}"/>
  <tableColumns count="8">
    <tableColumn id="7" xr3:uid="{C4153605-9B42-4D02-9C15-51EBAEEDD61B}" name="Item" dataDxfId="414" dataCellStyle="60% - Accent3"/>
    <tableColumn id="1" xr3:uid="{CCE71A1A-7E91-431B-8473-C212E958F17E}" name="Notes" dataDxfId="413" dataCellStyle="60% - Accent3"/>
    <tableColumn id="2" xr3:uid="{EAE8771D-C0C6-4EFC-A6B2-1B0CD6AA54FF}" name="Duration" dataDxfId="412" dataCellStyle="Currency"/>
    <tableColumn id="3" xr3:uid="{5987B567-B335-40F5-8F80-34FB8DA532C2}" name="Cost" dataDxfId="411" dataCellStyle="Currency"/>
    <tableColumn id="4" xr3:uid="{48C2FC4F-6D12-40EE-96F2-DFFAA5EA7D58}" name="Frequency" dataDxfId="410"/>
    <tableColumn id="5" xr3:uid="{63516D70-4FE2-4597-8348-F9E869AD2771}" name="Unit" dataDxfId="409"/>
    <tableColumn id="6" xr3:uid="{A687AD99-BCA5-47C0-86F9-2D7C253B92AF}" name="Monthly Cost Per Unit" dataDxfId="408">
      <calculatedColumnFormula array="1">_xlfn.IFS(RentalAssistance196873788388939810310811311812513013514014515015516053982328[[#This Row],[Unit]]="Program-wide",((_xlfn.IFS(RentalAssistance196873788388939810310811311812513013514014515015516053982328[[#This Row],[Frequency]]="Per Year",RentalAssistance196873788388939810310811311812513013514014515015516053982328[[#This Row],[Cost]]/12,RentalAssistance196873788388939810310811311812513013514014515015516053982328[[#This Row],[Frequency]]="Per month",RentalAssistance196873788388939810310811311812513013514014515015516053982328[[#This Row],[Cost]],RentalAssistance196873788388939810310811311812513013514014515015516053982328[[#This Row],[Frequency]]="Per day",RentalAssistance196873788388939810310811311812513013514014515015516053982328[[#This Row],[Cost]]*30,RentalAssistance196873788388939810310811311812513013514014515015516053982328[[#This Row],[Frequency]]="One-time",RentalAssistance196873788388939810310811311812513013514014515015516053982328[[#This Row],[Cost]]/12))/$C$17),RentalAssistance196873788388939810310811311812513013514014515015516053982328[[#This Row],[Unit]]="Per unit/space/household",(_xlfn.IFS(RentalAssistance196873788388939810310811311812513013514014515015516053982328[[#This Row],[Frequency]]="Per Year",RentalAssistance196873788388939810310811311812513013514014515015516053982328[[#This Row],[Cost]]/12,RentalAssistance196873788388939810310811311812513013514014515015516053982328[[#This Row],[Frequency]]="Per month",RentalAssistance196873788388939810310811311812513013514014515015516053982328[[#This Row],[Cost]],RentalAssistance196873788388939810310811311812513013514014515015516053982328[[#This Row],[Frequency]]="Per day",RentalAssistance196873788388939810310811311812513013514014515015516053982328[[#This Row],[Cost]]*30,RentalAssistance196873788388939810310811311812513013514014515015516053982328[[#This Row],[Frequency]]="One-time",RentalAssistance196873788388939810310811311812513013514014515015516053982328[[#This Row],[Cost]]/SUM($C$18,$C$19))))</calculatedColumnFormula>
    </tableColumn>
    <tableColumn id="8" xr3:uid="{713F5B55-CAB4-45DF-8DCC-757EBC83746A}" name="Annual Cost Per Unit" dataDxfId="407"/>
  </tableColumns>
  <tableStyleInfo name="TableStyleMedium18" showFirstColumn="0" showLastColumn="0" showRowStripes="0"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174A0673-7EA9-43DF-BF4C-41BB8E4EE438}" name="Services1106974798489949910410911411912613113614114615115616154992429" displayName="Services1106974798489949910410911411912613113614114615115616154992429" ref="A94:H112" totalsRowShown="0" headerRowDxfId="406" dataDxfId="405" tableBorderDxfId="404" headerRowCellStyle="Accent3">
  <autoFilter ref="A94:H112" xr:uid="{174A0673-7EA9-43DF-BF4C-41BB8E4EE438}"/>
  <tableColumns count="8">
    <tableColumn id="7" xr3:uid="{DFBA45E6-D104-4E8F-86DF-5CFEBCCE74F0}" name="Item" dataDxfId="403" dataCellStyle="60% - Accent3"/>
    <tableColumn id="1" xr3:uid="{8474F0A6-EAC1-4768-B7C1-B13474786421}" name="Notes" dataDxfId="402" dataCellStyle="60% - Accent3"/>
    <tableColumn id="2" xr3:uid="{69E1FD4C-4975-48AA-930D-07F582EDA9D2}" name="Duration" dataDxfId="401" dataCellStyle="Currency"/>
    <tableColumn id="3" xr3:uid="{237BB88D-CA1E-4BDC-ACF8-3A8CA08A01CE}" name="Cost" dataDxfId="400" dataCellStyle="Currency"/>
    <tableColumn id="4" xr3:uid="{1A324CEA-755E-4F77-AEF9-97CB6A6D46B9}" name="Frequency" dataDxfId="399"/>
    <tableColumn id="5" xr3:uid="{0A1921F9-92E2-4D7C-92D8-085BC01745E6}" name="Unit" dataDxfId="398"/>
    <tableColumn id="6" xr3:uid="{933AE9B9-6F33-41D6-86D4-8A2F067EAE5C}" name="Monthly Cost Per Unit" dataDxfId="397">
      <calculatedColumnFormula array="1">_xlfn.IFS(Services1106974798489949910410911411912613113614114615115616154992429[[#This Row],[Unit]]="Program-wide",((_xlfn.IFS(Services1106974798489949910410911411912613113614114615115616154992429[[#This Row],[Frequency]]="Per Year",Services1106974798489949910410911411912613113614114615115616154992429[[#This Row],[Cost]]/12,Services1106974798489949910410911411912613113614114615115616154992429[[#This Row],[Frequency]]="Per month",Services1106974798489949910410911411912613113614114615115616154992429[[#This Row],[Cost]],Services1106974798489949910410911411912613113614114615115616154992429[[#This Row],[Frequency]]="Per day",Services1106974798489949910410911411912613113614114615115616154992429[[#This Row],[Cost]]*30,Services1106974798489949910410911411912613113614114615115616154992429[[#This Row],[Frequency]]="One-time",Services1106974798489949910410911411912613113614114615115616154992429[[#This Row],[Cost]]/12))/$C$17),Services1106974798489949910410911411912613113614114615115616154992429[[#This Row],[Unit]]="Per unit/space/household",(_xlfn.IFS(Services1106974798489949910410911411912613113614114615115616154992429[[#This Row],[Frequency]]="Per Year",Services1106974798489949910410911411912613113614114615115616154992429[[#This Row],[Cost]]/12,Services1106974798489949910410911411912613113614114615115616154992429[[#This Row],[Frequency]]="Per month",Services1106974798489949910410911411912613113614114615115616154992429[[#This Row],[Cost]],Services1106974798489949910410911411912613113614114615115616154992429[[#This Row],[Frequency]]="Per day",Services1106974798489949910410911411912613113614114615115616154992429[[#This Row],[Cost]]*30,Services1106974798489949910410911411912613113614114615115616154992429[[#This Row],[Frequency]]="One-time",Services1106974798489949910410911411912613113614114615115616154992429[[#This Row],[Cost]]/SUM($C$18,$C$19))))</calculatedColumnFormula>
    </tableColumn>
    <tableColumn id="8" xr3:uid="{4BC0BC14-200E-4C0F-ABF7-237BF2219C10}" name="Annual Cost Per Unit" dataDxfId="396" dataCellStyle="Currency"/>
  </tableColumns>
  <tableStyleInfo name="TableStyleMedium18" showFirstColumn="0" showLastColumn="0" showRowStripes="0"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60BF0D2D-C370-4F7E-BBA2-6D18E5894408}" name="Other111707580859095100105110115120127132137142147152157162551002530" displayName="Other111707580859095100105110115120127132137142147152157162551002530" ref="A116:H126" totalsRowShown="0" headerRowDxfId="395" dataDxfId="394" tableBorderDxfId="393" headerRowCellStyle="Accent3">
  <autoFilter ref="A116:H126" xr:uid="{60BF0D2D-C370-4F7E-BBA2-6D18E5894408}"/>
  <tableColumns count="8">
    <tableColumn id="7" xr3:uid="{8DCD50E3-92CA-492C-802F-E59E3552B70F}" name="Item" dataDxfId="392" dataCellStyle="60% - Accent3"/>
    <tableColumn id="1" xr3:uid="{FAE3CAAD-A31D-4A48-8E8A-0B489D282879}" name="Notes" dataDxfId="391" dataCellStyle="60% - Accent3"/>
    <tableColumn id="2" xr3:uid="{1BC0D2F3-87B6-4359-BDBD-4E6041C17233}" name="Duration" dataDxfId="390" dataCellStyle="Currency"/>
    <tableColumn id="3" xr3:uid="{F5C36908-A387-4D8C-8CAF-1C7617C9153A}" name="Cost" dataDxfId="389" dataCellStyle="Currency"/>
    <tableColumn id="4" xr3:uid="{AE06F185-ED74-4480-9CF8-156427DFA8DD}" name="Frequency" dataDxfId="388"/>
    <tableColumn id="5" xr3:uid="{4E411E49-76D0-4E64-93F3-CD0F89FC231F}" name="Unit" dataDxfId="387"/>
    <tableColumn id="6" xr3:uid="{59BD03CD-0C93-487F-83AE-EA7EAFF24A14}" name="Monthly Cost Per Unit" dataDxfId="386">
      <calculatedColumnFormula array="1">_xlfn.IFS(Other111707580859095100105110115120127132137142147152157162551002530[[#This Row],[Unit]]="Program-wide",((_xlfn.IFS(Other111707580859095100105110115120127132137142147152157162551002530[[#This Row],[Frequency]]="Per Year",Other111707580859095100105110115120127132137142147152157162551002530[[#This Row],[Cost]]/12,Other111707580859095100105110115120127132137142147152157162551002530[[#This Row],[Frequency]]="Per month",Other111707580859095100105110115120127132137142147152157162551002530[[#This Row],[Cost]],Other111707580859095100105110115120127132137142147152157162551002530[[#This Row],[Frequency]]="Per day",Other111707580859095100105110115120127132137142147152157162551002530[[#This Row],[Cost]]*30,Other111707580859095100105110115120127132137142147152157162551002530[[#This Row],[Frequency]]="One-time",Other111707580859095100105110115120127132137142147152157162551002530[[#This Row],[Cost]]/12))/$C$17),Other111707580859095100105110115120127132137142147152157162551002530[[#This Row],[Unit]]="Per unit/space/household",(_xlfn.IFS(Other111707580859095100105110115120127132137142147152157162551002530[[#This Row],[Frequency]]="Per Year",Other111707580859095100105110115120127132137142147152157162551002530[[#This Row],[Cost]]/12,Other111707580859095100105110115120127132137142147152157162551002530[[#This Row],[Frequency]]="Per month",Other111707580859095100105110115120127132137142147152157162551002530[[#This Row],[Cost]],Other111707580859095100105110115120127132137142147152157162551002530[[#This Row],[Frequency]]="Per day",Other111707580859095100105110115120127132137142147152157162551002530[[#This Row],[Cost]]*30,Other111707580859095100105110115120127132137142147152157162551002530[[#This Row],[Frequency]]="One-time",Other111707580859095100105110115120127132137142147152157162551002530[[#This Row],[Cost]]/SUM($C$18,$C$19))))</calculatedColumnFormula>
    </tableColumn>
    <tableColumn id="8" xr3:uid="{5B4D5912-1ACF-48EC-A825-E4DF23374B40}" name="Annual Cost Per Unit" dataDxfId="385"/>
  </tableColumns>
  <tableStyleInfo name="TableStyleMedium18" showFirstColumn="0" showLastColumn="0" showRowStripes="0"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CE580C5F-C578-4D3A-BB2A-F509936846AC}" name="Administrative17667176818691961011061111161231281331381431481531585196212631" displayName="Administrative17667176818691961011061111161231281331381431481531585196212631" ref="A26:H36" totalsRowShown="0" headerRowDxfId="384" dataDxfId="383" tableBorderDxfId="382" headerRowCellStyle="Accent3">
  <autoFilter ref="A26:H36" xr:uid="{CE580C5F-C578-4D3A-BB2A-F509936846AC}"/>
  <tableColumns count="8">
    <tableColumn id="7" xr3:uid="{F28705F0-E307-4C1F-9EF1-CE6147E916A5}" name="Item" dataDxfId="381" dataCellStyle="60% - Accent3"/>
    <tableColumn id="1" xr3:uid="{6CDDC258-0329-440C-9D7B-1AD9F0536028}" name="Notes" dataDxfId="380" dataCellStyle="60% - Accent3"/>
    <tableColumn id="2" xr3:uid="{7BF20876-9E3C-4126-8185-12C20B801A5E}" name="Duration" dataDxfId="379" dataCellStyle="Currency"/>
    <tableColumn id="3" xr3:uid="{12278109-B60C-4D91-AB4A-9B57D102B33C}" name="Cost" dataDxfId="378" dataCellStyle="Currency"/>
    <tableColumn id="4" xr3:uid="{22EC8FB6-0C21-473A-B7E9-174976D4EC2D}" name="Frequency" dataDxfId="377"/>
    <tableColumn id="5" xr3:uid="{AA43126D-B601-4466-B433-38B847ED9774}" name="Unit" dataDxfId="376"/>
    <tableColumn id="6" xr3:uid="{BA8BE0B1-9222-4FAB-8EAF-5231CD01BA14}" name="Monthly Cost Per Unit" dataDxfId="375">
      <calculatedColumnFormula array="1">_xlfn.IFS(Administrative17667176818691961011061111161231281331381431481531585196212631[[#This Row],[Unit]]="Program-wide",((_xlfn.IFS(Administrative17667176818691961011061111161231281331381431481531585196212631[[#This Row],[Frequency]]="Per Year",Administrative17667176818691961011061111161231281331381431481531585196212631[[#This Row],[Cost]]/12,Administrative17667176818691961011061111161231281331381431481531585196212631[[#This Row],[Frequency]]="Per month",Administrative17667176818691961011061111161231281331381431481531585196212631[[#This Row],[Cost]],Administrative17667176818691961011061111161231281331381431481531585196212631[[#This Row],[Frequency]]="Per day",Administrative17667176818691961011061111161231281331381431481531585196212631[[#This Row],[Cost]]*30,Administrative17667176818691961011061111161231281331381431481531585196212631[[#This Row],[Frequency]]="One-time",Administrative17667176818691961011061111161231281331381431481531585196212631[[#This Row],[Cost]]/12))/$C$17),Administrative17667176818691961011061111161231281331381431481531585196212631[[#This Row],[Unit]]="Per unit/space/household",(_xlfn.IFS(Administrative17667176818691961011061111161231281331381431481531585196212631[[#This Row],[Frequency]]="Per Year",Administrative17667176818691961011061111161231281331381431481531585196212631[[#This Row],[Cost]]/12,Administrative17667176818691961011061111161231281331381431481531585196212631[[#This Row],[Frequency]]="Per month",Administrative17667176818691961011061111161231281331381431481531585196212631[[#This Row],[Cost]],Administrative17667176818691961011061111161231281331381431481531585196212631[[#This Row],[Frequency]]="Per day",Administrative17667176818691961011061111161231281331381431481531585196212631[[#This Row],[Cost]]*30,Administrative17667176818691961011061111161231281331381431481531585196212631[[#This Row],[Frequency]]="One-time",Administrative17667176818691961011061111161231281331381431481531585196212631[[#This Row],[Cost]]/SUM($C$18,$C$19))))</calculatedColumnFormula>
    </tableColumn>
    <tableColumn id="8" xr3:uid="{AB0AB34C-991B-4173-A3C2-6B4E7D572CCD}" name="Annual Cost Per Unit" dataDxfId="374"/>
  </tableColumns>
  <tableStyleInfo name="TableStyleMedium18" showFirstColumn="0" showLastColumn="0" showRowStripes="0"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DF7FE08A-61AD-4467-B43E-57528555655E}" name="Operations18677277828792971021071121171241291341391441491541595297222732" displayName="Operations18677277828792971021071121171241291341391441491541595297222732" ref="A40:H57" totalsRowShown="0" headerRowDxfId="373" dataDxfId="372" tableBorderDxfId="371" headerRowCellStyle="Accent3">
  <autoFilter ref="A40:H57" xr:uid="{DF7FE08A-61AD-4467-B43E-57528555655E}"/>
  <tableColumns count="8">
    <tableColumn id="7" xr3:uid="{E810612C-AA86-4C49-AA6E-3F86833296CF}" name="Item" dataDxfId="370" dataCellStyle="60% - Accent3"/>
    <tableColumn id="1" xr3:uid="{DC4CDF51-C3D2-47BD-AEC8-00BDB699642A}" name="Notes" dataDxfId="369" dataCellStyle="60% - Accent3"/>
    <tableColumn id="2" xr3:uid="{C0AB8FC2-52E2-473D-AC66-E017F3C14237}" name="Duration" dataDxfId="368" dataCellStyle="Currency"/>
    <tableColumn id="3" xr3:uid="{8E0F17D0-F515-4E74-B40D-EC0EEEADC98A}" name="Cost" dataDxfId="367" dataCellStyle="Currency"/>
    <tableColumn id="4" xr3:uid="{2A3408D6-B54F-402E-B5D5-76B3770F0127}" name="Frequency" dataDxfId="366"/>
    <tableColumn id="5" xr3:uid="{CA87530F-5E2D-43FD-93A3-231C27FE63A0}" name="Unit" dataDxfId="365"/>
    <tableColumn id="6" xr3:uid="{560A07BA-E72F-4AFD-80B9-0D30F8DBBFB0}" name="Monthly Cost Per Unit" dataDxfId="364">
      <calculatedColumnFormula array="1">_xlfn.IFS(Operations18677277828792971021071121171241291341391441491541595297222732[[#This Row],[Unit]]="Program-wide",((_xlfn.IFS(Operations18677277828792971021071121171241291341391441491541595297222732[[#This Row],[Frequency]]="Per Year",Operations18677277828792971021071121171241291341391441491541595297222732[[#This Row],[Cost]]/12,Operations18677277828792971021071121171241291341391441491541595297222732[[#This Row],[Frequency]]="Per month",Operations18677277828792971021071121171241291341391441491541595297222732[[#This Row],[Cost]],Operations18677277828792971021071121171241291341391441491541595297222732[[#This Row],[Frequency]]="Per day",Operations18677277828792971021071121171241291341391441491541595297222732[[#This Row],[Cost]]*30,Operations18677277828792971021071121171241291341391441491541595297222732[[#This Row],[Frequency]]="One-time",Operations18677277828792971021071121171241291341391441491541595297222732[[#This Row],[Cost]]/12))/$C$17),Operations18677277828792971021071121171241291341391441491541595297222732[[#This Row],[Unit]]="Per unit/space/household",(_xlfn.IFS(Operations18677277828792971021071121171241291341391441491541595297222732[[#This Row],[Frequency]]="Per Year",Operations18677277828792971021071121171241291341391441491541595297222732[[#This Row],[Cost]]/12,Operations18677277828792971021071121171241291341391441491541595297222732[[#This Row],[Frequency]]="Per month",Operations18677277828792971021071121171241291341391441491541595297222732[[#This Row],[Cost]],Operations18677277828792971021071121171241291341391441491541595297222732[[#This Row],[Frequency]]="Per day",Operations18677277828792971021071121171241291341391441491541595297222732[[#This Row],[Cost]]*30,Operations18677277828792971021071121171241291341391441491541595297222732[[#This Row],[Frequency]]="One-time",Operations18677277828792971021071121171241291341391441491541595297222732[[#This Row],[Cost]]/SUM($C$18,$C$19))))</calculatedColumnFormula>
    </tableColumn>
    <tableColumn id="8" xr3:uid="{ADEEAFFE-1676-492F-8BDD-0EBECDBDFEFB}" name="Annual Cost Per Unit" dataDxfId="363"/>
  </tableColumns>
  <tableStyleInfo name="TableStyleMedium18" showFirstColumn="0" showLastColumn="0" showRowStripes="0"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27406510-4DA9-43CF-B51D-F74A2A84112A}" name="RentalAssistance19687378838893981031081131181251301351401451501551605398232833" displayName="RentalAssistance19687378838893981031081131181251301351401451501551605398232833" ref="A76:H90" totalsRowShown="0" headerRowDxfId="362" dataDxfId="361" tableBorderDxfId="360" headerRowCellStyle="Accent3">
  <autoFilter ref="A76:H90" xr:uid="{27406510-4DA9-43CF-B51D-F74A2A84112A}"/>
  <tableColumns count="8">
    <tableColumn id="7" xr3:uid="{F082EFD9-3FF6-454D-A4D8-ECF39BE41B9F}" name="Item" dataDxfId="359" dataCellStyle="60% - Accent3"/>
    <tableColumn id="1" xr3:uid="{021C4ACB-6A08-4BEF-AF71-62066596B459}" name="Notes" dataDxfId="358" dataCellStyle="60% - Accent3"/>
    <tableColumn id="2" xr3:uid="{6F1F6911-68F4-4A48-B876-7D341C874881}" name="Duration" dataDxfId="357" dataCellStyle="Currency"/>
    <tableColumn id="3" xr3:uid="{230E70A8-5316-47DF-BE17-99F1E6000AB4}" name="Cost" dataDxfId="356" dataCellStyle="Currency"/>
    <tableColumn id="4" xr3:uid="{468CDA92-9F01-4F97-ABFF-189797A4B254}" name="Frequency" dataDxfId="355"/>
    <tableColumn id="5" xr3:uid="{78178223-15FC-41CF-932E-E29BFED9E57C}" name="Unit" dataDxfId="354"/>
    <tableColumn id="6" xr3:uid="{3233D9F0-65B9-4E95-B99E-6FA9E5422FDF}" name="Monthly Cost Per Unit" dataDxfId="353">
      <calculatedColumnFormula array="1">_xlfn.IFS(RentalAssistance19687378838893981031081131181251301351401451501551605398232833[[#This Row],[Unit]]="Program-wide",((_xlfn.IFS(RentalAssistance19687378838893981031081131181251301351401451501551605398232833[[#This Row],[Frequency]]="Per Year",RentalAssistance19687378838893981031081131181251301351401451501551605398232833[[#This Row],[Cost]]/12,RentalAssistance19687378838893981031081131181251301351401451501551605398232833[[#This Row],[Frequency]]="Per month",RentalAssistance19687378838893981031081131181251301351401451501551605398232833[[#This Row],[Cost]],RentalAssistance19687378838893981031081131181251301351401451501551605398232833[[#This Row],[Frequency]]="Per day",RentalAssistance19687378838893981031081131181251301351401451501551605398232833[[#This Row],[Cost]]*30,RentalAssistance19687378838893981031081131181251301351401451501551605398232833[[#This Row],[Frequency]]="One-time",RentalAssistance19687378838893981031081131181251301351401451501551605398232833[[#This Row],[Cost]]/12))/$C$17),RentalAssistance19687378838893981031081131181251301351401451501551605398232833[[#This Row],[Unit]]="Per unit/space/household",(_xlfn.IFS(RentalAssistance19687378838893981031081131181251301351401451501551605398232833[[#This Row],[Frequency]]="Per Year",RentalAssistance19687378838893981031081131181251301351401451501551605398232833[[#This Row],[Cost]]/12,RentalAssistance19687378838893981031081131181251301351401451501551605398232833[[#This Row],[Frequency]]="Per month",RentalAssistance19687378838893981031081131181251301351401451501551605398232833[[#This Row],[Cost]],RentalAssistance19687378838893981031081131181251301351401451501551605398232833[[#This Row],[Frequency]]="Per day",RentalAssistance19687378838893981031081131181251301351401451501551605398232833[[#This Row],[Cost]]*30,RentalAssistance19687378838893981031081131181251301351401451501551605398232833[[#This Row],[Frequency]]="One-time",RentalAssistance19687378838893981031081131181251301351401451501551605398232833[[#This Row],[Cost]]/SUM($C$18,$C$19))))</calculatedColumnFormula>
    </tableColumn>
    <tableColumn id="8" xr3:uid="{1F3F1DAF-AB92-48C8-98D8-DF4963574F68}" name="Annual Cost Per Unit" dataDxfId="352"/>
  </tableColumns>
  <tableStyleInfo name="TableStyleMedium18"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EBF6C72-4B34-4146-86DF-2E6290A58C5A}" name="Table1" displayName="Table1" ref="A40:C46" totalsRowShown="0" headerRowDxfId="639" dataDxfId="638">
  <autoFilter ref="A40:C46" xr:uid="{3EBF6C72-4B34-4146-86DF-2E6290A58C5A}"/>
  <tableColumns count="3">
    <tableColumn id="1" xr3:uid="{E229E409-B038-4B9A-8A00-8B695680A5B9}" name="Project Type" dataDxfId="637"/>
    <tableColumn id="2" xr3:uid="{7ADE23B9-5CFB-409E-B303-81163882BF2A}" name="Project Name" dataDxfId="636"/>
    <tableColumn id="8" xr3:uid="{F00F5339-6D1C-45B8-9AA1-385BFD36EC0D}" name="Annual Cost Per Unit" dataDxfId="635"/>
  </tableColumns>
  <tableStyleInfo name="Table Style 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95DD1D12-F9B8-41C2-BDA4-B0A902A46963}" name="Services110697479848994991041091141191261311361411461511561615499242934" displayName="Services110697479848994991041091141191261311361411461511561615499242934" ref="A94:H112" totalsRowShown="0" headerRowDxfId="351" dataDxfId="350" tableBorderDxfId="349" headerRowCellStyle="Accent3">
  <autoFilter ref="A94:H112" xr:uid="{95DD1D12-F9B8-41C2-BDA4-B0A902A46963}"/>
  <tableColumns count="8">
    <tableColumn id="7" xr3:uid="{04CDB2CA-E634-4FAC-99EF-2C497AF52876}" name="Item" dataDxfId="348" dataCellStyle="60% - Accent3"/>
    <tableColumn id="1" xr3:uid="{59AD4267-6803-4A0B-B418-4973F673C29B}" name="Notes" dataDxfId="347" dataCellStyle="60% - Accent3"/>
    <tableColumn id="2" xr3:uid="{50D424FF-F172-43B7-A1ED-1F02B1E890F9}" name="Duration" dataDxfId="346" dataCellStyle="Currency"/>
    <tableColumn id="3" xr3:uid="{61D528E4-1A4E-4C63-81BA-A35224DA3226}" name="Cost" dataDxfId="345" dataCellStyle="Currency"/>
    <tableColumn id="4" xr3:uid="{4E02A349-7E0D-4135-961A-12BFF0E8675B}" name="Frequency" dataDxfId="344"/>
    <tableColumn id="5" xr3:uid="{939FA288-4132-448B-8481-DF1DFF433214}" name="Unit" dataDxfId="343"/>
    <tableColumn id="6" xr3:uid="{10B25ECF-F1CD-47FD-B314-741B8121E8C1}" name="Monthly Cost Per Unit" dataDxfId="342">
      <calculatedColumnFormula array="1">_xlfn.IFS(Services110697479848994991041091141191261311361411461511561615499242934[[#This Row],[Unit]]="Program-wide",((_xlfn.IFS(Services110697479848994991041091141191261311361411461511561615499242934[[#This Row],[Frequency]]="Per Year",Services110697479848994991041091141191261311361411461511561615499242934[[#This Row],[Cost]]/12,Services110697479848994991041091141191261311361411461511561615499242934[[#This Row],[Frequency]]="Per month",Services110697479848994991041091141191261311361411461511561615499242934[[#This Row],[Cost]],Services110697479848994991041091141191261311361411461511561615499242934[[#This Row],[Frequency]]="Per day",Services110697479848994991041091141191261311361411461511561615499242934[[#This Row],[Cost]]*30,Services110697479848994991041091141191261311361411461511561615499242934[[#This Row],[Frequency]]="One-time",Services110697479848994991041091141191261311361411461511561615499242934[[#This Row],[Cost]]/12))/$C$17),Services110697479848994991041091141191261311361411461511561615499242934[[#This Row],[Unit]]="Per unit/space/household",(_xlfn.IFS(Services110697479848994991041091141191261311361411461511561615499242934[[#This Row],[Frequency]]="Per Year",Services110697479848994991041091141191261311361411461511561615499242934[[#This Row],[Cost]]/12,Services110697479848994991041091141191261311361411461511561615499242934[[#This Row],[Frequency]]="Per month",Services110697479848994991041091141191261311361411461511561615499242934[[#This Row],[Cost]],Services110697479848994991041091141191261311361411461511561615499242934[[#This Row],[Frequency]]="Per day",Services110697479848994991041091141191261311361411461511561615499242934[[#This Row],[Cost]]*30,Services110697479848994991041091141191261311361411461511561615499242934[[#This Row],[Frequency]]="One-time",Services110697479848994991041091141191261311361411461511561615499242934[[#This Row],[Cost]]/SUM($C$18,$C$19))))</calculatedColumnFormula>
    </tableColumn>
    <tableColumn id="8" xr3:uid="{7FFD43FA-E9B1-4C74-A0BA-CE9DE0AD046A}" name="Annual Cost Per Unit" dataDxfId="341" dataCellStyle="Currency"/>
  </tableColumns>
  <tableStyleInfo name="TableStyleMedium18" showFirstColumn="0" showLastColumn="0" showRowStripes="0"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7A5B3C8C-E1CD-4491-AF9E-7E6752C5266F}" name="Other11170758085909510010511011512012713213714214715215716255100253035" displayName="Other11170758085909510010511011512012713213714214715215716255100253035" ref="A116:H126" totalsRowShown="0" headerRowDxfId="340" dataDxfId="339" tableBorderDxfId="338" headerRowCellStyle="Accent3">
  <autoFilter ref="A116:H126" xr:uid="{7A5B3C8C-E1CD-4491-AF9E-7E6752C5266F}"/>
  <tableColumns count="8">
    <tableColumn id="7" xr3:uid="{9822A9AA-4E74-470E-B5C5-BD7865E20375}" name="Item" dataDxfId="337" dataCellStyle="60% - Accent3"/>
    <tableColumn id="1" xr3:uid="{B9910093-0101-45E5-AFF2-C04F7869AC4A}" name="Notes" dataDxfId="336" dataCellStyle="60% - Accent3"/>
    <tableColumn id="2" xr3:uid="{6CCFE4F6-9876-4D8A-BBD4-D7C3E47168F0}" name="Duration" dataDxfId="335" dataCellStyle="Currency"/>
    <tableColumn id="3" xr3:uid="{D84706B5-CD65-4230-B9F5-91C1D3FB661D}" name="Cost" dataDxfId="334" dataCellStyle="Currency"/>
    <tableColumn id="4" xr3:uid="{83178D3B-1DD0-44CA-99F6-97F1CA22B5C2}" name="Frequency" dataDxfId="333"/>
    <tableColumn id="5" xr3:uid="{B6C0DEC5-F269-44D4-B065-6D9E87109C9A}" name="Unit" dataDxfId="332"/>
    <tableColumn id="6" xr3:uid="{2E13FB85-02D1-4806-88E3-1B7ADDE27D3C}" name="Monthly Cost Per Unit" dataDxfId="331">
      <calculatedColumnFormula array="1">_xlfn.IFS(Other11170758085909510010511011512012713213714214715215716255100253035[[#This Row],[Unit]]="Program-wide",((_xlfn.IFS(Other11170758085909510010511011512012713213714214715215716255100253035[[#This Row],[Frequency]]="Per Year",Other11170758085909510010511011512012713213714214715215716255100253035[[#This Row],[Cost]]/12,Other11170758085909510010511011512012713213714214715215716255100253035[[#This Row],[Frequency]]="Per month",Other11170758085909510010511011512012713213714214715215716255100253035[[#This Row],[Cost]],Other11170758085909510010511011512012713213714214715215716255100253035[[#This Row],[Frequency]]="Per day",Other11170758085909510010511011512012713213714214715215716255100253035[[#This Row],[Cost]]*30,Other11170758085909510010511011512012713213714214715215716255100253035[[#This Row],[Frequency]]="One-time",Other11170758085909510010511011512012713213714214715215716255100253035[[#This Row],[Cost]]/12))/$C$17),Other11170758085909510010511011512012713213714214715215716255100253035[[#This Row],[Unit]]="Per unit/space/household",(_xlfn.IFS(Other11170758085909510010511011512012713213714214715215716255100253035[[#This Row],[Frequency]]="Per Year",Other11170758085909510010511011512012713213714214715215716255100253035[[#This Row],[Cost]]/12,Other11170758085909510010511011512012713213714214715215716255100253035[[#This Row],[Frequency]]="Per month",Other11170758085909510010511011512012713213714214715215716255100253035[[#This Row],[Cost]],Other11170758085909510010511011512012713213714214715215716255100253035[[#This Row],[Frequency]]="Per day",Other11170758085909510010511011512012713213714214715215716255100253035[[#This Row],[Cost]]*30,Other11170758085909510010511011512012713213714214715215716255100253035[[#This Row],[Frequency]]="One-time",Other11170758085909510010511011512012713213714214715215716255100253035[[#This Row],[Cost]]/SUM($C$18,$C$19))))</calculatedColumnFormula>
    </tableColumn>
    <tableColumn id="8" xr3:uid="{839E3915-B1EA-42EE-ABCF-138099CDCB40}" name="Annual Cost Per Unit" dataDxfId="330"/>
  </tableColumns>
  <tableStyleInfo name="TableStyleMedium18" showFirstColumn="0" showLastColumn="0" showRowStripes="0"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266FA263-DAAF-4264-AE97-2A9F60105930}" name="Administrative1766717681869196101106111116123128133138143148153158519621263136" displayName="Administrative1766717681869196101106111116123128133138143148153158519621263136" ref="A26:H36" totalsRowShown="0" headerRowDxfId="329" dataDxfId="328" tableBorderDxfId="327" headerRowCellStyle="Accent3">
  <autoFilter ref="A26:H36" xr:uid="{266FA263-DAAF-4264-AE97-2A9F60105930}"/>
  <tableColumns count="8">
    <tableColumn id="7" xr3:uid="{D85B1B71-A0BE-4693-933F-3244E69A8AE4}" name="Item" dataDxfId="326" dataCellStyle="60% - Accent3"/>
    <tableColumn id="1" xr3:uid="{43652B87-0671-4AA6-8019-334BB4374A5E}" name="Notes" dataDxfId="325" dataCellStyle="60% - Accent3"/>
    <tableColumn id="2" xr3:uid="{8DE58E0A-1419-49F9-8384-92F5E1120EAF}" name="Duration" dataDxfId="324" dataCellStyle="Currency"/>
    <tableColumn id="3" xr3:uid="{C9191B56-7035-4BDF-9948-DABCDC6571E0}" name="Cost" dataDxfId="323" dataCellStyle="Currency"/>
    <tableColumn id="4" xr3:uid="{7ECB7B57-B599-4D32-875D-6427784FC995}" name="Frequency" dataDxfId="322"/>
    <tableColumn id="5" xr3:uid="{EFF02D56-8FBA-41A0-9D79-942483E16BCF}" name="Unit" dataDxfId="321"/>
    <tableColumn id="6" xr3:uid="{38EC7024-B542-4733-AE2B-2CE6DFE104D1}" name="Monthly Cost Per Unit" dataDxfId="320">
      <calculatedColumnFormula array="1">_xlfn.IFS(Administrative1766717681869196101106111116123128133138143148153158519621263136[[#This Row],[Unit]]="Program-wide",((_xlfn.IFS(Administrative1766717681869196101106111116123128133138143148153158519621263136[[#This Row],[Frequency]]="Per Year",Administrative1766717681869196101106111116123128133138143148153158519621263136[[#This Row],[Cost]]/12,Administrative1766717681869196101106111116123128133138143148153158519621263136[[#This Row],[Frequency]]="Per month",Administrative1766717681869196101106111116123128133138143148153158519621263136[[#This Row],[Cost]],Administrative1766717681869196101106111116123128133138143148153158519621263136[[#This Row],[Frequency]]="Per day",Administrative1766717681869196101106111116123128133138143148153158519621263136[[#This Row],[Cost]]*30,Administrative1766717681869196101106111116123128133138143148153158519621263136[[#This Row],[Frequency]]="One-time",Administrative1766717681869196101106111116123128133138143148153158519621263136[[#This Row],[Cost]]/12))/$C$17),Administrative1766717681869196101106111116123128133138143148153158519621263136[[#This Row],[Unit]]="Per unit/space/household",(_xlfn.IFS(Administrative1766717681869196101106111116123128133138143148153158519621263136[[#This Row],[Frequency]]="Per Year",Administrative1766717681869196101106111116123128133138143148153158519621263136[[#This Row],[Cost]]/12,Administrative1766717681869196101106111116123128133138143148153158519621263136[[#This Row],[Frequency]]="Per month",Administrative1766717681869196101106111116123128133138143148153158519621263136[[#This Row],[Cost]],Administrative1766717681869196101106111116123128133138143148153158519621263136[[#This Row],[Frequency]]="Per day",Administrative1766717681869196101106111116123128133138143148153158519621263136[[#This Row],[Cost]]*30,Administrative1766717681869196101106111116123128133138143148153158519621263136[[#This Row],[Frequency]]="One-time",Administrative1766717681869196101106111116123128133138143148153158519621263136[[#This Row],[Cost]]/SUM($C$18,$C$19))))</calculatedColumnFormula>
    </tableColumn>
    <tableColumn id="8" xr3:uid="{01BDCB8E-B77F-43DB-B206-FD7DC6DE61BC}" name="Annual Cost Per Unit" dataDxfId="319"/>
  </tableColumns>
  <tableStyleInfo name="TableStyleMedium18" showFirstColumn="0" showLastColumn="0" showRowStripes="0"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FD161DF4-412A-4BCD-891C-C35DAA17B769}" name="Operations1867727782879297102107112117124129134139144149154159529722273237" displayName="Operations1867727782879297102107112117124129134139144149154159529722273237" ref="A40:H57" totalsRowShown="0" headerRowDxfId="318" dataDxfId="317" tableBorderDxfId="316" headerRowCellStyle="Accent3">
  <autoFilter ref="A40:H57" xr:uid="{FD161DF4-412A-4BCD-891C-C35DAA17B769}"/>
  <tableColumns count="8">
    <tableColumn id="7" xr3:uid="{FE0CA770-E4D0-40CE-A3E0-77F41C49B050}" name="Item" dataDxfId="315" dataCellStyle="60% - Accent3"/>
    <tableColumn id="1" xr3:uid="{4A169D0E-8BBC-42A4-B5A6-82E3D0F7BB82}" name="Notes" dataDxfId="314" dataCellStyle="60% - Accent3"/>
    <tableColumn id="2" xr3:uid="{5EFC40FF-A8DD-4F6E-AA84-A17752740034}" name="Duration" dataDxfId="313" dataCellStyle="Currency"/>
    <tableColumn id="3" xr3:uid="{10BC068C-B0CC-410E-BF15-8CC9F1E11596}" name="Cost" dataDxfId="312" dataCellStyle="Currency"/>
    <tableColumn id="4" xr3:uid="{9B43062D-66F3-4039-978B-8691E7E1239D}" name="Frequency" dataDxfId="311"/>
    <tableColumn id="5" xr3:uid="{9A05DD9E-B5FD-42F7-8BD6-561C73A440D3}" name="Unit" dataDxfId="310"/>
    <tableColumn id="6" xr3:uid="{EEC5B0F7-83F9-4083-82C1-2E03D7F9E377}" name="Monthly Cost Per Unit" dataDxfId="309">
      <calculatedColumnFormula array="1">_xlfn.IFS(Operations1867727782879297102107112117124129134139144149154159529722273237[[#This Row],[Unit]]="Program-wide",((_xlfn.IFS(Operations1867727782879297102107112117124129134139144149154159529722273237[[#This Row],[Frequency]]="Per Year",Operations1867727782879297102107112117124129134139144149154159529722273237[[#This Row],[Cost]]/12,Operations1867727782879297102107112117124129134139144149154159529722273237[[#This Row],[Frequency]]="Per month",Operations1867727782879297102107112117124129134139144149154159529722273237[[#This Row],[Cost]],Operations1867727782879297102107112117124129134139144149154159529722273237[[#This Row],[Frequency]]="Per day",Operations1867727782879297102107112117124129134139144149154159529722273237[[#This Row],[Cost]]*30,Operations1867727782879297102107112117124129134139144149154159529722273237[[#This Row],[Frequency]]="One-time",Operations1867727782879297102107112117124129134139144149154159529722273237[[#This Row],[Cost]]/12))/$C$17),Operations1867727782879297102107112117124129134139144149154159529722273237[[#This Row],[Unit]]="Per unit/space/household",(_xlfn.IFS(Operations1867727782879297102107112117124129134139144149154159529722273237[[#This Row],[Frequency]]="Per Year",Operations1867727782879297102107112117124129134139144149154159529722273237[[#This Row],[Cost]]/12,Operations1867727782879297102107112117124129134139144149154159529722273237[[#This Row],[Frequency]]="Per month",Operations1867727782879297102107112117124129134139144149154159529722273237[[#This Row],[Cost]],Operations1867727782879297102107112117124129134139144149154159529722273237[[#This Row],[Frequency]]="Per day",Operations1867727782879297102107112117124129134139144149154159529722273237[[#This Row],[Cost]]*30,Operations1867727782879297102107112117124129134139144149154159529722273237[[#This Row],[Frequency]]="One-time",Operations1867727782879297102107112117124129134139144149154159529722273237[[#This Row],[Cost]]/SUM($C$18,$C$19))))</calculatedColumnFormula>
    </tableColumn>
    <tableColumn id="8" xr3:uid="{C42C5F21-B9D0-4358-AC6D-0279D74399EB}" name="Annual Cost Per Unit" dataDxfId="308"/>
  </tableColumns>
  <tableStyleInfo name="TableStyleMedium18" showFirstColumn="0" showLastColumn="0" showRowStripes="0"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A042AD0C-12EE-4534-914F-09F6565D3AA3}" name="RentalAssistance1968737883889398103108113118125130135140145150155160539823283338" displayName="RentalAssistance1968737883889398103108113118125130135140145150155160539823283338" ref="A76:H90" totalsRowShown="0" headerRowDxfId="307" dataDxfId="306" tableBorderDxfId="305" headerRowCellStyle="Accent3">
  <autoFilter ref="A76:H90" xr:uid="{A042AD0C-12EE-4534-914F-09F6565D3AA3}"/>
  <tableColumns count="8">
    <tableColumn id="7" xr3:uid="{E2DA4A7A-957D-4ACF-A446-22971388B335}" name="Item" dataDxfId="304" dataCellStyle="60% - Accent3"/>
    <tableColumn id="1" xr3:uid="{A3F159A5-BE88-4B28-91D9-F5616B0ECB55}" name="Notes" dataDxfId="303" dataCellStyle="60% - Accent3"/>
    <tableColumn id="2" xr3:uid="{83517C8E-DE26-4526-B65A-E3AD58A5B9BC}" name="Duration" dataDxfId="302" dataCellStyle="Currency"/>
    <tableColumn id="3" xr3:uid="{3AF948BA-CD74-4F5C-B45B-77701F7C4B3C}" name="Cost" dataDxfId="301" dataCellStyle="Currency"/>
    <tableColumn id="4" xr3:uid="{A7130FC8-E4DA-410C-89E7-D72F632BF6FB}" name="Frequency" dataDxfId="300"/>
    <tableColumn id="5" xr3:uid="{79404612-166F-4965-B0D5-343240939E36}" name="Unit" dataDxfId="299"/>
    <tableColumn id="6" xr3:uid="{B8108B59-EEDC-4EB1-8AB5-F8EDBD9A9359}" name="Monthly Cost Per Unit" dataDxfId="298">
      <calculatedColumnFormula array="1">_xlfn.IFS(RentalAssistance1968737883889398103108113118125130135140145150155160539823283338[[#This Row],[Unit]]="Program-wide",((_xlfn.IFS(RentalAssistance1968737883889398103108113118125130135140145150155160539823283338[[#This Row],[Frequency]]="Per Year",RentalAssistance1968737883889398103108113118125130135140145150155160539823283338[[#This Row],[Cost]]/12,RentalAssistance1968737883889398103108113118125130135140145150155160539823283338[[#This Row],[Frequency]]="Per month",RentalAssistance1968737883889398103108113118125130135140145150155160539823283338[[#This Row],[Cost]],RentalAssistance1968737883889398103108113118125130135140145150155160539823283338[[#This Row],[Frequency]]="Per day",RentalAssistance1968737883889398103108113118125130135140145150155160539823283338[[#This Row],[Cost]]*30,RentalAssistance1968737883889398103108113118125130135140145150155160539823283338[[#This Row],[Frequency]]="One-time",RentalAssistance1968737883889398103108113118125130135140145150155160539823283338[[#This Row],[Cost]]/12))/$C$17),RentalAssistance1968737883889398103108113118125130135140145150155160539823283338[[#This Row],[Unit]]="Per unit/space/household",(_xlfn.IFS(RentalAssistance1968737883889398103108113118125130135140145150155160539823283338[[#This Row],[Frequency]]="Per Year",RentalAssistance1968737883889398103108113118125130135140145150155160539823283338[[#This Row],[Cost]]/12,RentalAssistance1968737883889398103108113118125130135140145150155160539823283338[[#This Row],[Frequency]]="Per month",RentalAssistance1968737883889398103108113118125130135140145150155160539823283338[[#This Row],[Cost]],RentalAssistance1968737883889398103108113118125130135140145150155160539823283338[[#This Row],[Frequency]]="Per day",RentalAssistance1968737883889398103108113118125130135140145150155160539823283338[[#This Row],[Cost]]*30,RentalAssistance1968737883889398103108113118125130135140145150155160539823283338[[#This Row],[Frequency]]="One-time",RentalAssistance1968737883889398103108113118125130135140145150155160539823283338[[#This Row],[Cost]]/SUM($C$18,$C$19))))</calculatedColumnFormula>
    </tableColumn>
    <tableColumn id="8" xr3:uid="{3F8DDD40-99BB-4984-B6B9-D79B8BFE6679}" name="Annual Cost Per Unit" dataDxfId="297"/>
  </tableColumns>
  <tableStyleInfo name="TableStyleMedium18" showFirstColumn="0" showLastColumn="0" showRowStripes="0"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D88F9E07-37D0-4DBE-AB06-8457727DF4BE}" name="Services11069747984899499104109114119126131136141146151156161549924293439" displayName="Services11069747984899499104109114119126131136141146151156161549924293439" ref="A94:H112" totalsRowShown="0" headerRowDxfId="296" dataDxfId="295" tableBorderDxfId="294" headerRowCellStyle="Accent3">
  <autoFilter ref="A94:H112" xr:uid="{D88F9E07-37D0-4DBE-AB06-8457727DF4BE}"/>
  <tableColumns count="8">
    <tableColumn id="7" xr3:uid="{320C1872-E13E-4F2A-ABDA-7EFF89455841}" name="Item" dataDxfId="293" dataCellStyle="60% - Accent3"/>
    <tableColumn id="1" xr3:uid="{6099F2B1-EB28-4F2A-A21F-B84823983684}" name="Notes" dataDxfId="292" dataCellStyle="60% - Accent3"/>
    <tableColumn id="2" xr3:uid="{21B1B51B-92EC-43B1-8AD4-0B8C6034DA3F}" name="Duration" dataDxfId="291" dataCellStyle="Currency"/>
    <tableColumn id="3" xr3:uid="{72B95D14-92B8-4526-A688-A1A2B73AAEB4}" name="Cost" dataDxfId="290" dataCellStyle="Currency"/>
    <tableColumn id="4" xr3:uid="{C8BA8FCC-65E0-4363-AB59-CCD2B903F479}" name="Frequency" dataDxfId="289"/>
    <tableColumn id="5" xr3:uid="{BB1C0F8F-F338-4DE2-9E7D-0FC65FF3B18D}" name="Unit" dataDxfId="288"/>
    <tableColumn id="6" xr3:uid="{0A3FADF3-E18F-4116-9E3A-220AC7D98211}" name="Monthly Cost Per Unit" dataDxfId="287">
      <calculatedColumnFormula array="1">_xlfn.IFS(Services11069747984899499104109114119126131136141146151156161549924293439[[#This Row],[Unit]]="Program-wide",((_xlfn.IFS(Services11069747984899499104109114119126131136141146151156161549924293439[[#This Row],[Frequency]]="Per Year",Services11069747984899499104109114119126131136141146151156161549924293439[[#This Row],[Cost]]/12,Services11069747984899499104109114119126131136141146151156161549924293439[[#This Row],[Frequency]]="Per month",Services11069747984899499104109114119126131136141146151156161549924293439[[#This Row],[Cost]],Services11069747984899499104109114119126131136141146151156161549924293439[[#This Row],[Frequency]]="Per day",Services11069747984899499104109114119126131136141146151156161549924293439[[#This Row],[Cost]]*30,Services11069747984899499104109114119126131136141146151156161549924293439[[#This Row],[Frequency]]="One-time",Services11069747984899499104109114119126131136141146151156161549924293439[[#This Row],[Cost]]/12))/$C$17),Services11069747984899499104109114119126131136141146151156161549924293439[[#This Row],[Unit]]="Per unit/space/household",(_xlfn.IFS(Services11069747984899499104109114119126131136141146151156161549924293439[[#This Row],[Frequency]]="Per Year",Services11069747984899499104109114119126131136141146151156161549924293439[[#This Row],[Cost]]/12,Services11069747984899499104109114119126131136141146151156161549924293439[[#This Row],[Frequency]]="Per month",Services11069747984899499104109114119126131136141146151156161549924293439[[#This Row],[Cost]],Services11069747984899499104109114119126131136141146151156161549924293439[[#This Row],[Frequency]]="Per day",Services11069747984899499104109114119126131136141146151156161549924293439[[#This Row],[Cost]]*30,Services11069747984899499104109114119126131136141146151156161549924293439[[#This Row],[Frequency]]="One-time",Services11069747984899499104109114119126131136141146151156161549924293439[[#This Row],[Cost]]/SUM($C$18,$C$19))))</calculatedColumnFormula>
    </tableColumn>
    <tableColumn id="8" xr3:uid="{D704083C-44B8-40EE-93B3-BF74C9D23BC9}" name="Annual Cost Per Unit" dataDxfId="286" dataCellStyle="Currency"/>
  </tableColumns>
  <tableStyleInfo name="TableStyleMedium18" showFirstColumn="0" showLastColumn="0" showRowStripes="0"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44485FA6-9737-4271-8D8F-8E51BDAE9DB5}" name="Other1117075808590951001051101151201271321371421471521571625510025303540" displayName="Other1117075808590951001051101151201271321371421471521571625510025303540" ref="A116:H126" totalsRowShown="0" headerRowDxfId="285" dataDxfId="284" tableBorderDxfId="283" headerRowCellStyle="Accent3">
  <autoFilter ref="A116:H126" xr:uid="{44485FA6-9737-4271-8D8F-8E51BDAE9DB5}"/>
  <tableColumns count="8">
    <tableColumn id="7" xr3:uid="{360A9688-792F-4023-B5BD-E0A4FD65B5AC}" name="Item" dataDxfId="282" dataCellStyle="60% - Accent3"/>
    <tableColumn id="1" xr3:uid="{16284428-D70E-41B0-B673-12B5D3F47356}" name="Notes" dataDxfId="281" dataCellStyle="60% - Accent3"/>
    <tableColumn id="2" xr3:uid="{D2642E15-7B1C-4072-B22D-58209D28C2A2}" name="Duration" dataDxfId="280" dataCellStyle="Currency"/>
    <tableColumn id="3" xr3:uid="{C8C66883-62DB-41C9-9DC5-D8624A18DF3F}" name="Cost" dataDxfId="279" dataCellStyle="Currency"/>
    <tableColumn id="4" xr3:uid="{9E6B9238-AA8B-4334-AD1C-D492D004659C}" name="Frequency" dataDxfId="278"/>
    <tableColumn id="5" xr3:uid="{45894B78-276F-4FCD-9EC0-9C3F96DB99CE}" name="Unit" dataDxfId="277"/>
    <tableColumn id="6" xr3:uid="{F0EFB063-9039-4279-AF3C-C52B58660D0E}" name="Monthly Cost Per Unit" dataDxfId="276">
      <calculatedColumnFormula array="1">_xlfn.IFS(Other1117075808590951001051101151201271321371421471521571625510025303540[[#This Row],[Unit]]="Program-wide",((_xlfn.IFS(Other1117075808590951001051101151201271321371421471521571625510025303540[[#This Row],[Frequency]]="Per Year",Other1117075808590951001051101151201271321371421471521571625510025303540[[#This Row],[Cost]]/12,Other1117075808590951001051101151201271321371421471521571625510025303540[[#This Row],[Frequency]]="Per month",Other1117075808590951001051101151201271321371421471521571625510025303540[[#This Row],[Cost]],Other1117075808590951001051101151201271321371421471521571625510025303540[[#This Row],[Frequency]]="Per day",Other1117075808590951001051101151201271321371421471521571625510025303540[[#This Row],[Cost]]*30,Other1117075808590951001051101151201271321371421471521571625510025303540[[#This Row],[Frequency]]="One-time",Other1117075808590951001051101151201271321371421471521571625510025303540[[#This Row],[Cost]]/12))/$C$17),Other1117075808590951001051101151201271321371421471521571625510025303540[[#This Row],[Unit]]="Per unit/space/household",(_xlfn.IFS(Other1117075808590951001051101151201271321371421471521571625510025303540[[#This Row],[Frequency]]="Per Year",Other1117075808590951001051101151201271321371421471521571625510025303540[[#This Row],[Cost]]/12,Other1117075808590951001051101151201271321371421471521571625510025303540[[#This Row],[Frequency]]="Per month",Other1117075808590951001051101151201271321371421471521571625510025303540[[#This Row],[Cost]],Other1117075808590951001051101151201271321371421471521571625510025303540[[#This Row],[Frequency]]="Per day",Other1117075808590951001051101151201271321371421471521571625510025303540[[#This Row],[Cost]]*30,Other1117075808590951001051101151201271321371421471521571625510025303540[[#This Row],[Frequency]]="One-time",Other1117075808590951001051101151201271321371421471521571625510025303540[[#This Row],[Cost]]/SUM($C$18,$C$19))))</calculatedColumnFormula>
    </tableColumn>
    <tableColumn id="8" xr3:uid="{67DB4D57-E156-42AF-B3A9-720A2BD2B939}" name="Annual Cost Per Unit" dataDxfId="275"/>
  </tableColumns>
  <tableStyleInfo name="TableStyleMedium18" showFirstColumn="0" showLastColumn="0" showRowStripes="0"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FA3038D8-DF7C-4F38-BA74-0FD7E651C716}" name="Administrative176671768186919610110611111612312813313814314815315851962126313641" displayName="Administrative176671768186919610110611111612312813313814314815315851962126313641" ref="A26:H36" totalsRowShown="0" headerRowDxfId="274" dataDxfId="273" tableBorderDxfId="272" headerRowCellStyle="Accent3">
  <autoFilter ref="A26:H36" xr:uid="{FA3038D8-DF7C-4F38-BA74-0FD7E651C716}"/>
  <tableColumns count="8">
    <tableColumn id="7" xr3:uid="{0D8D99E8-CABB-47FB-8930-06453D3E3B53}" name="Item" dataDxfId="271" dataCellStyle="60% - Accent3"/>
    <tableColumn id="1" xr3:uid="{82A067B5-DC59-4F0B-94A8-FC6C1D3560FF}" name="Notes" dataDxfId="270" dataCellStyle="60% - Accent3"/>
    <tableColumn id="2" xr3:uid="{DA6BC50E-F7E1-46BB-9227-90F744EC286F}" name="Duration" dataDxfId="269" dataCellStyle="Currency"/>
    <tableColumn id="3" xr3:uid="{83892286-CD90-4981-8FE0-A6EC71F2F8CF}" name="Cost" dataDxfId="268" dataCellStyle="Currency"/>
    <tableColumn id="4" xr3:uid="{D6DA789D-8E92-4E04-B1C0-30F959557DAC}" name="Frequency" dataDxfId="267"/>
    <tableColumn id="5" xr3:uid="{3D723597-FEEC-47BD-BA88-6A083CED84E2}" name="Unit" dataDxfId="266"/>
    <tableColumn id="6" xr3:uid="{49273489-BD13-44AF-A6A7-8EB545255364}" name="Monthly Cost Per Unit" dataDxfId="265">
      <calculatedColumnFormula array="1">_xlfn.IFS(Administrative176671768186919610110611111612312813313814314815315851962126313641[[#This Row],[Unit]]="Program-wide",((_xlfn.IFS(Administrative176671768186919610110611111612312813313814314815315851962126313641[[#This Row],[Frequency]]="Per Year",Administrative176671768186919610110611111612312813313814314815315851962126313641[[#This Row],[Cost]]/12,Administrative176671768186919610110611111612312813313814314815315851962126313641[[#This Row],[Frequency]]="Per month",Administrative176671768186919610110611111612312813313814314815315851962126313641[[#This Row],[Cost]],Administrative176671768186919610110611111612312813313814314815315851962126313641[[#This Row],[Frequency]]="Per day",Administrative176671768186919610110611111612312813313814314815315851962126313641[[#This Row],[Cost]]*30,Administrative176671768186919610110611111612312813313814314815315851962126313641[[#This Row],[Frequency]]="One-time",Administrative176671768186919610110611111612312813313814314815315851962126313641[[#This Row],[Cost]]/12))/$C$17),Administrative176671768186919610110611111612312813313814314815315851962126313641[[#This Row],[Unit]]="Per unit/space/household",(_xlfn.IFS(Administrative176671768186919610110611111612312813313814314815315851962126313641[[#This Row],[Frequency]]="Per Year",Administrative176671768186919610110611111612312813313814314815315851962126313641[[#This Row],[Cost]]/12,Administrative176671768186919610110611111612312813313814314815315851962126313641[[#This Row],[Frequency]]="Per month",Administrative176671768186919610110611111612312813313814314815315851962126313641[[#This Row],[Cost]],Administrative176671768186919610110611111612312813313814314815315851962126313641[[#This Row],[Frequency]]="Per day",Administrative176671768186919610110611111612312813313814314815315851962126313641[[#This Row],[Cost]]*30,Administrative176671768186919610110611111612312813313814314815315851962126313641[[#This Row],[Frequency]]="One-time",Administrative176671768186919610110611111612312813313814314815315851962126313641[[#This Row],[Cost]]/SUM($C$18,$C$19))))</calculatedColumnFormula>
    </tableColumn>
    <tableColumn id="8" xr3:uid="{1F7D0F0F-4DB0-47BE-8E18-5338988D5781}" name="Annual Cost Per Unit" dataDxfId="264"/>
  </tableColumns>
  <tableStyleInfo name="TableStyleMedium18" showFirstColumn="0" showLastColumn="0" showRowStripes="0"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5EAA9CF7-8936-41E6-A08A-2E2C922B546E}" name="Operations186772778287929710210711211712412913413914414915415952972227323742" displayName="Operations186772778287929710210711211712412913413914414915415952972227323742" ref="A40:H57" totalsRowShown="0" headerRowDxfId="263" dataDxfId="262" tableBorderDxfId="261" headerRowCellStyle="Accent3">
  <autoFilter ref="A40:H57" xr:uid="{5EAA9CF7-8936-41E6-A08A-2E2C922B546E}"/>
  <tableColumns count="8">
    <tableColumn id="7" xr3:uid="{7B144C52-2880-4BCB-BBAB-742AA5D279A5}" name="Item" dataDxfId="260" dataCellStyle="60% - Accent3"/>
    <tableColumn id="1" xr3:uid="{1CF2FD56-7430-4D55-8063-324CDBDED843}" name="Notes" dataDxfId="259" dataCellStyle="60% - Accent3"/>
    <tableColumn id="2" xr3:uid="{8E96562C-ED9A-4E4B-B69C-A8A292F01739}" name="Duration" dataDxfId="258" dataCellStyle="Currency"/>
    <tableColumn id="3" xr3:uid="{E21C4CAA-8BE7-4EAD-8630-E96DBA5F09EB}" name="Cost" dataDxfId="257" dataCellStyle="Currency"/>
    <tableColumn id="4" xr3:uid="{6F9CB193-C204-4FC4-8B90-AA4075E37436}" name="Frequency" dataDxfId="256"/>
    <tableColumn id="5" xr3:uid="{9D28F054-F632-47B2-A6BB-BB4ECCCEC009}" name="Unit" dataDxfId="255"/>
    <tableColumn id="6" xr3:uid="{68BFDC1D-BC4D-4272-9E73-54E892878CEF}" name="Monthly Cost Per Unit" dataDxfId="254">
      <calculatedColumnFormula array="1">_xlfn.IFS(Operations186772778287929710210711211712412913413914414915415952972227323742[[#This Row],[Unit]]="Program-wide",((_xlfn.IFS(Operations186772778287929710210711211712412913413914414915415952972227323742[[#This Row],[Frequency]]="Per Year",Operations186772778287929710210711211712412913413914414915415952972227323742[[#This Row],[Cost]]/12,Operations186772778287929710210711211712412913413914414915415952972227323742[[#This Row],[Frequency]]="Per month",Operations186772778287929710210711211712412913413914414915415952972227323742[[#This Row],[Cost]],Operations186772778287929710210711211712412913413914414915415952972227323742[[#This Row],[Frequency]]="Per day",Operations186772778287929710210711211712412913413914414915415952972227323742[[#This Row],[Cost]]*30,Operations186772778287929710210711211712412913413914414915415952972227323742[[#This Row],[Frequency]]="One-time",Operations186772778287929710210711211712412913413914414915415952972227323742[[#This Row],[Cost]]/12))/$C$17),Operations186772778287929710210711211712412913413914414915415952972227323742[[#This Row],[Unit]]="Per unit/space/household",(_xlfn.IFS(Operations186772778287929710210711211712412913413914414915415952972227323742[[#This Row],[Frequency]]="Per Year",Operations186772778287929710210711211712412913413914414915415952972227323742[[#This Row],[Cost]]/12,Operations186772778287929710210711211712412913413914414915415952972227323742[[#This Row],[Frequency]]="Per month",Operations186772778287929710210711211712412913413914414915415952972227323742[[#This Row],[Cost]],Operations186772778287929710210711211712412913413914414915415952972227323742[[#This Row],[Frequency]]="Per day",Operations186772778287929710210711211712412913413914414915415952972227323742[[#This Row],[Cost]]*30,Operations186772778287929710210711211712412913413914414915415952972227323742[[#This Row],[Frequency]]="One-time",Operations186772778287929710210711211712412913413914414915415952972227323742[[#This Row],[Cost]]/SUM($C$18,$C$19))))</calculatedColumnFormula>
    </tableColumn>
    <tableColumn id="8" xr3:uid="{8F7F26B4-9222-4E07-AECE-2D8238483D64}" name="Annual Cost Per Unit" dataDxfId="253"/>
  </tableColumns>
  <tableStyleInfo name="TableStyleMedium18" showFirstColumn="0" showLastColumn="0" showRowStripes="0"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AB2A7315-D662-4187-B03F-12186F5A3C52}" name="RentalAssistance196873788388939810310811311812513013514014515015516053982328333843" displayName="RentalAssistance196873788388939810310811311812513013514014515015516053982328333843" ref="A76:H90" totalsRowShown="0" headerRowDxfId="252" dataDxfId="251" tableBorderDxfId="250" headerRowCellStyle="Accent3">
  <autoFilter ref="A76:H90" xr:uid="{AB2A7315-D662-4187-B03F-12186F5A3C52}"/>
  <tableColumns count="8">
    <tableColumn id="7" xr3:uid="{0E8DD786-A2B6-456C-942F-7AB877A343BA}" name="Item" dataDxfId="249" dataCellStyle="60% - Accent3"/>
    <tableColumn id="1" xr3:uid="{2BEF573D-3DEB-48AF-ABB2-1FFC7E2FC772}" name="Notes" dataDxfId="248" dataCellStyle="60% - Accent3"/>
    <tableColumn id="2" xr3:uid="{31264548-03DB-4C9E-8ACF-B39CB665582F}" name="Duration" dataDxfId="247" dataCellStyle="Currency"/>
    <tableColumn id="3" xr3:uid="{DFC27BAB-D159-452A-A85B-7B82E876CC6A}" name="Cost" dataDxfId="246" dataCellStyle="Currency"/>
    <tableColumn id="4" xr3:uid="{9B068C1A-486E-40FA-B1A8-D9E144B10FCA}" name="Frequency" dataDxfId="245"/>
    <tableColumn id="5" xr3:uid="{00615A48-3712-4508-9273-B3C2B4A145F5}" name="Unit" dataDxfId="244"/>
    <tableColumn id="6" xr3:uid="{F556E88B-71B7-41FC-82A5-B5D536A2F93B}" name="Monthly Cost Per Unit" dataDxfId="243">
      <calculatedColumnFormula array="1">_xlfn.IFS(RentalAssistance196873788388939810310811311812513013514014515015516053982328333843[[#This Row],[Unit]]="Program-wide",((_xlfn.IFS(RentalAssistance196873788388939810310811311812513013514014515015516053982328333843[[#This Row],[Frequency]]="Per Year",RentalAssistance196873788388939810310811311812513013514014515015516053982328333843[[#This Row],[Cost]]/12,RentalAssistance196873788388939810310811311812513013514014515015516053982328333843[[#This Row],[Frequency]]="Per month",RentalAssistance196873788388939810310811311812513013514014515015516053982328333843[[#This Row],[Cost]],RentalAssistance196873788388939810310811311812513013514014515015516053982328333843[[#This Row],[Frequency]]="Per day",RentalAssistance196873788388939810310811311812513013514014515015516053982328333843[[#This Row],[Cost]]*30,RentalAssistance196873788388939810310811311812513013514014515015516053982328333843[[#This Row],[Frequency]]="One-time",RentalAssistance196873788388939810310811311812513013514014515015516053982328333843[[#This Row],[Cost]]/12))/$C$17),RentalAssistance196873788388939810310811311812513013514014515015516053982328333843[[#This Row],[Unit]]="Per unit/space/household",(_xlfn.IFS(RentalAssistance196873788388939810310811311812513013514014515015516053982328333843[[#This Row],[Frequency]]="Per Year",RentalAssistance196873788388939810310811311812513013514014515015516053982328333843[[#This Row],[Cost]]/12,RentalAssistance196873788388939810310811311812513013514014515015516053982328333843[[#This Row],[Frequency]]="Per month",RentalAssistance196873788388939810310811311812513013514014515015516053982328333843[[#This Row],[Cost]],RentalAssistance196873788388939810310811311812513013514014515015516053982328333843[[#This Row],[Frequency]]="Per day",RentalAssistance196873788388939810310811311812513013514014515015516053982328333843[[#This Row],[Cost]]*30,RentalAssistance196873788388939810310811311812513013514014515015516053982328333843[[#This Row],[Frequency]]="One-time",RentalAssistance196873788388939810310811311812513013514014515015516053982328333843[[#This Row],[Cost]]/SUM($C$18,$C$19))))</calculatedColumnFormula>
    </tableColumn>
    <tableColumn id="8" xr3:uid="{B0F9D357-5C14-49E5-AD77-D2969C6F65D9}" name="Annual Cost Per Unit" dataDxfId="242"/>
  </tableColumns>
  <tableStyleInfo name="TableStyleMedium18"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30ED08C-A26D-4922-AA02-9C141814E560}" name="Administrative17" displayName="Administrative17" ref="A26:H36" totalsRowShown="0" headerRowDxfId="634" tableBorderDxfId="633" headerRowCellStyle="Accent3">
  <autoFilter ref="A26:H36" xr:uid="{D30ED08C-A26D-4922-AA02-9C141814E560}"/>
  <tableColumns count="8">
    <tableColumn id="7" xr3:uid="{74AB62C0-57A2-4749-9D48-9A608C6D1588}" name="Item" dataDxfId="632" dataCellStyle="60% - Accent3"/>
    <tableColumn id="1" xr3:uid="{AE6CF003-478D-4E50-8F27-D53E6D5F241D}" name="Notes" dataDxfId="631" dataCellStyle="60% - Accent3"/>
    <tableColumn id="2" xr3:uid="{F08F5D08-3FD5-4636-838D-65BBF0DD90C8}" name="Duration" dataDxfId="630" dataCellStyle="Currency"/>
    <tableColumn id="3" xr3:uid="{2CCE4B85-495D-41F1-99FE-230CE470426C}" name="Cost" dataDxfId="629" dataCellStyle="Currency"/>
    <tableColumn id="4" xr3:uid="{3594B03B-087D-4607-A8FE-E7225AD2FD3D}" name="Frequency"/>
    <tableColumn id="5" xr3:uid="{EF570A61-0AB8-4A5A-9171-F6A273C8F165}" name="Unit"/>
    <tableColumn id="6" xr3:uid="{C31E9CA5-341E-4E87-9383-067C9CEFE49E}" name="Monthly Cost Per Unit" dataDxfId="628">
      <calculatedColumnFormula array="1">_xlfn.IFS(Administrative17[[#This Row],[Unit]]="Program-wide",((_xlfn.IFS(Administrative17[[#This Row],[Frequency]]="Per Year",Administrative17[[#This Row],[Cost]]/12,Administrative17[[#This Row],[Frequency]]="Per month",Administrative17[[#This Row],[Cost]],Administrative17[[#This Row],[Frequency]]="Per day",Administrative17[[#This Row],[Cost]]*30,Administrative17[[#This Row],[Frequency]]="One-time",Administrative17[[#This Row],[Cost]]/12))/$C$17),Administrative17[[#This Row],[Unit]]="Per unit/space/household",(_xlfn.IFS(Administrative17[[#This Row],[Frequency]]="Per Year",Administrative17[[#This Row],[Cost]]/12,Administrative17[[#This Row],[Frequency]]="Per month",Administrative17[[#This Row],[Cost]],Administrative17[[#This Row],[Frequency]]="Per day",Administrative17[[#This Row],[Cost]]*30,Administrative17[[#This Row],[Frequency]]="One-time",Administrative17[[#This Row],[Cost]]/SUM($C$18,$C$19))))</calculatedColumnFormula>
    </tableColumn>
    <tableColumn id="8" xr3:uid="{F785CCD1-116E-493E-8482-03E1EE3F525C}" name="Annual Cost Per Unit" dataDxfId="627"/>
  </tableColumns>
  <tableStyleInfo name="TableStyleMedium18" showFirstColumn="0" showLastColumn="0" showRowStripes="0"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5EF9FEA4-C21D-4D9D-90AB-24977C9A19A1}" name="Services1106974798489949910410911411912613113614114615115616154992429343944" displayName="Services1106974798489949910410911411912613113614114615115616154992429343944" ref="A94:H112" totalsRowShown="0" headerRowDxfId="241" dataDxfId="240" tableBorderDxfId="239" headerRowCellStyle="Accent3">
  <autoFilter ref="A94:H112" xr:uid="{5EF9FEA4-C21D-4D9D-90AB-24977C9A19A1}"/>
  <tableColumns count="8">
    <tableColumn id="7" xr3:uid="{05428BD6-7A0D-446E-B71C-48E01864EA7F}" name="Item" dataDxfId="238" dataCellStyle="60% - Accent3"/>
    <tableColumn id="1" xr3:uid="{2BE09AFD-3551-4F22-BF4E-09FB92C082E9}" name="Notes" dataDxfId="237" dataCellStyle="60% - Accent3"/>
    <tableColumn id="2" xr3:uid="{2388502E-E1C4-4982-BAC4-CBA7F6A25026}" name="Duration" dataDxfId="236" dataCellStyle="Currency"/>
    <tableColumn id="3" xr3:uid="{23C2DCA8-D7A9-4283-A22A-42FDAC82168C}" name="Cost" dataDxfId="235" dataCellStyle="Currency"/>
    <tableColumn id="4" xr3:uid="{DD23624A-57E9-408C-A5D1-A9BB5F81915D}" name="Frequency" dataDxfId="234"/>
    <tableColumn id="5" xr3:uid="{EFBE7D00-CDBB-431F-B3B7-BCC2D57FFB35}" name="Unit" dataDxfId="233"/>
    <tableColumn id="6" xr3:uid="{74E26438-97EC-4386-992C-66D9DBD483CE}" name="Monthly Cost Per Unit" dataDxfId="232">
      <calculatedColumnFormula array="1">_xlfn.IFS(Services1106974798489949910410911411912613113614114615115616154992429343944[[#This Row],[Unit]]="Program-wide",((_xlfn.IFS(Services1106974798489949910410911411912613113614114615115616154992429343944[[#This Row],[Frequency]]="Per Year",Services1106974798489949910410911411912613113614114615115616154992429343944[[#This Row],[Cost]]/12,Services1106974798489949910410911411912613113614114615115616154992429343944[[#This Row],[Frequency]]="Per month",Services1106974798489949910410911411912613113614114615115616154992429343944[[#This Row],[Cost]],Services1106974798489949910410911411912613113614114615115616154992429343944[[#This Row],[Frequency]]="Per day",Services1106974798489949910410911411912613113614114615115616154992429343944[[#This Row],[Cost]]*30,Services1106974798489949910410911411912613113614114615115616154992429343944[[#This Row],[Frequency]]="One-time",Services1106974798489949910410911411912613113614114615115616154992429343944[[#This Row],[Cost]]/12))/$C$17),Services1106974798489949910410911411912613113614114615115616154992429343944[[#This Row],[Unit]]="Per unit/space/household",(_xlfn.IFS(Services1106974798489949910410911411912613113614114615115616154992429343944[[#This Row],[Frequency]]="Per Year",Services1106974798489949910410911411912613113614114615115616154992429343944[[#This Row],[Cost]]/12,Services1106974798489949910410911411912613113614114615115616154992429343944[[#This Row],[Frequency]]="Per month",Services1106974798489949910410911411912613113614114615115616154992429343944[[#This Row],[Cost]],Services1106974798489949910410911411912613113614114615115616154992429343944[[#This Row],[Frequency]]="Per day",Services1106974798489949910410911411912613113614114615115616154992429343944[[#This Row],[Cost]]*30,Services1106974798489949910410911411912613113614114615115616154992429343944[[#This Row],[Frequency]]="One-time",Services1106974798489949910410911411912613113614114615115616154992429343944[[#This Row],[Cost]]/SUM($C$18,$C$19))))</calculatedColumnFormula>
    </tableColumn>
    <tableColumn id="8" xr3:uid="{98EFCEBB-DE80-4446-97D4-0C53E02D833C}" name="Annual Cost Per Unit" dataDxfId="231" dataCellStyle="Currency"/>
  </tableColumns>
  <tableStyleInfo name="TableStyleMedium18" showFirstColumn="0" showLastColumn="0" showRowStripes="0"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445B2AF6-AE81-41F5-BAEB-2291B9F0DAAC}" name="Other111707580859095100105110115120127132137142147152157162551002530354045" displayName="Other111707580859095100105110115120127132137142147152157162551002530354045" ref="A116:H126" totalsRowShown="0" headerRowDxfId="230" dataDxfId="229" tableBorderDxfId="228" headerRowCellStyle="Accent3">
  <autoFilter ref="A116:H126" xr:uid="{445B2AF6-AE81-41F5-BAEB-2291B9F0DAAC}"/>
  <tableColumns count="8">
    <tableColumn id="7" xr3:uid="{BF74CBD2-ADE9-48E3-AFF4-C67ECC708871}" name="Item" dataDxfId="227" dataCellStyle="60% - Accent3"/>
    <tableColumn id="1" xr3:uid="{F5AB7EFD-A717-476E-8BF4-ADEBC7653138}" name="Notes" dataDxfId="226" dataCellStyle="60% - Accent3"/>
    <tableColumn id="2" xr3:uid="{17CC2EA0-E5B3-435A-8EE4-7380084A7AD5}" name="Duration" dataDxfId="225" dataCellStyle="Currency"/>
    <tableColumn id="3" xr3:uid="{80F67FFF-C147-499A-BAD6-364228757DF2}" name="Cost" dataDxfId="224" dataCellStyle="Currency"/>
    <tableColumn id="4" xr3:uid="{AFC14608-0FCF-454F-8F2F-A063125D13D9}" name="Frequency" dataDxfId="223"/>
    <tableColumn id="5" xr3:uid="{BBB2C0D4-FEBE-4347-87D2-3293CC68DBC9}" name="Unit" dataDxfId="222"/>
    <tableColumn id="6" xr3:uid="{B3BD2AB8-A14F-4B5B-9440-E4A7F4D7E9AF}" name="Monthly Cost Per Unit" dataDxfId="221">
      <calculatedColumnFormula array="1">_xlfn.IFS(Other111707580859095100105110115120127132137142147152157162551002530354045[[#This Row],[Unit]]="Program-wide",((_xlfn.IFS(Other111707580859095100105110115120127132137142147152157162551002530354045[[#This Row],[Frequency]]="Per Year",Other111707580859095100105110115120127132137142147152157162551002530354045[[#This Row],[Cost]]/12,Other111707580859095100105110115120127132137142147152157162551002530354045[[#This Row],[Frequency]]="Per month",Other111707580859095100105110115120127132137142147152157162551002530354045[[#This Row],[Cost]],Other111707580859095100105110115120127132137142147152157162551002530354045[[#This Row],[Frequency]]="Per day",Other111707580859095100105110115120127132137142147152157162551002530354045[[#This Row],[Cost]]*30,Other111707580859095100105110115120127132137142147152157162551002530354045[[#This Row],[Frequency]]="One-time",Other111707580859095100105110115120127132137142147152157162551002530354045[[#This Row],[Cost]]/12))/$C$17),Other111707580859095100105110115120127132137142147152157162551002530354045[[#This Row],[Unit]]="Per unit/space/household",(_xlfn.IFS(Other111707580859095100105110115120127132137142147152157162551002530354045[[#This Row],[Frequency]]="Per Year",Other111707580859095100105110115120127132137142147152157162551002530354045[[#This Row],[Cost]]/12,Other111707580859095100105110115120127132137142147152157162551002530354045[[#This Row],[Frequency]]="Per month",Other111707580859095100105110115120127132137142147152157162551002530354045[[#This Row],[Cost]],Other111707580859095100105110115120127132137142147152157162551002530354045[[#This Row],[Frequency]]="Per day",Other111707580859095100105110115120127132137142147152157162551002530354045[[#This Row],[Cost]]*30,Other111707580859095100105110115120127132137142147152157162551002530354045[[#This Row],[Frequency]]="One-time",Other111707580859095100105110115120127132137142147152157162551002530354045[[#This Row],[Cost]]/SUM($C$18,$C$19))))</calculatedColumnFormula>
    </tableColumn>
    <tableColumn id="8" xr3:uid="{C9E22BBE-EC5E-42D6-A4F1-BAABCD234C06}" name="Annual Cost Per Unit" dataDxfId="220"/>
  </tableColumns>
  <tableStyleInfo name="TableStyleMedium18" showFirstColumn="0" showLastColumn="0" showRowStripes="0"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13B29682-FB87-4664-8094-8CCAD7CCE22A}" name="Administrative17667176818691961011061111161231281331381431481531585196212631364146" displayName="Administrative17667176818691961011061111161231281331381431481531585196212631364146" ref="A26:H36" totalsRowShown="0" headerRowDxfId="219" dataDxfId="218" tableBorderDxfId="217" headerRowCellStyle="Accent3">
  <autoFilter ref="A26:H36" xr:uid="{13B29682-FB87-4664-8094-8CCAD7CCE22A}"/>
  <tableColumns count="8">
    <tableColumn id="7" xr3:uid="{8A3F215F-9016-4760-98B4-CC07D04ED31F}" name="Item" dataDxfId="216" dataCellStyle="60% - Accent3"/>
    <tableColumn id="1" xr3:uid="{D214FE4E-D4D1-408A-8915-53945FEFFE3B}" name="Notes" dataDxfId="215" dataCellStyle="60% - Accent3"/>
    <tableColumn id="2" xr3:uid="{5EBAD0AA-6FAC-44B4-AECF-E596D8E0E03B}" name="Duration" dataDxfId="214" dataCellStyle="Currency"/>
    <tableColumn id="3" xr3:uid="{3B2DADDA-B114-4F4D-BDC5-6FB7745E8E09}" name="Cost" dataDxfId="213" dataCellStyle="Currency"/>
    <tableColumn id="4" xr3:uid="{F544CA40-07B0-4E3E-B15C-3EAF8F684F24}" name="Frequency" dataDxfId="212"/>
    <tableColumn id="5" xr3:uid="{7E32CE39-4AA0-4A5F-AD89-B75E73B9539D}" name="Unit" dataDxfId="211"/>
    <tableColumn id="6" xr3:uid="{048F37D9-BD75-46F9-AA83-3BEAD99AD6DE}" name="Monthly Cost Per Unit" dataDxfId="210">
      <calculatedColumnFormula array="1">_xlfn.IFS(Administrative17667176818691961011061111161231281331381431481531585196212631364146[[#This Row],[Unit]]="Program-wide",((_xlfn.IFS(Administrative17667176818691961011061111161231281331381431481531585196212631364146[[#This Row],[Frequency]]="Per Year",Administrative17667176818691961011061111161231281331381431481531585196212631364146[[#This Row],[Cost]]/12,Administrative17667176818691961011061111161231281331381431481531585196212631364146[[#This Row],[Frequency]]="Per month",Administrative17667176818691961011061111161231281331381431481531585196212631364146[[#This Row],[Cost]],Administrative17667176818691961011061111161231281331381431481531585196212631364146[[#This Row],[Frequency]]="Per day",Administrative17667176818691961011061111161231281331381431481531585196212631364146[[#This Row],[Cost]]*30,Administrative17667176818691961011061111161231281331381431481531585196212631364146[[#This Row],[Frequency]]="One-time",Administrative17667176818691961011061111161231281331381431481531585196212631364146[[#This Row],[Cost]]/12))/$C$17),Administrative17667176818691961011061111161231281331381431481531585196212631364146[[#This Row],[Unit]]="Per unit/space/household",(_xlfn.IFS(Administrative17667176818691961011061111161231281331381431481531585196212631364146[[#This Row],[Frequency]]="Per Year",Administrative17667176818691961011061111161231281331381431481531585196212631364146[[#This Row],[Cost]]/12,Administrative17667176818691961011061111161231281331381431481531585196212631364146[[#This Row],[Frequency]]="Per month",Administrative17667176818691961011061111161231281331381431481531585196212631364146[[#This Row],[Cost]],Administrative17667176818691961011061111161231281331381431481531585196212631364146[[#This Row],[Frequency]]="Per day",Administrative17667176818691961011061111161231281331381431481531585196212631364146[[#This Row],[Cost]]*30,Administrative17667176818691961011061111161231281331381431481531585196212631364146[[#This Row],[Frequency]]="One-time",Administrative17667176818691961011061111161231281331381431481531585196212631364146[[#This Row],[Cost]]/SUM($C$18,$C$19))))</calculatedColumnFormula>
    </tableColumn>
    <tableColumn id="8" xr3:uid="{C8DD38EE-3E69-4F34-B948-C295727C3021}" name="Annual Cost Per Unit" dataDxfId="209"/>
  </tableColumns>
  <tableStyleInfo name="TableStyleMedium18" showFirstColumn="0" showLastColumn="0" showRowStripes="0"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9A67DD6C-D0BB-43F3-AA26-412FCE3731CA}" name="Operations18677277828792971021071121171241291341391441491541595297222732374247" displayName="Operations18677277828792971021071121171241291341391441491541595297222732374247" ref="A40:H57" totalsRowShown="0" headerRowDxfId="208" dataDxfId="207" tableBorderDxfId="206" headerRowCellStyle="Accent3">
  <autoFilter ref="A40:H57" xr:uid="{9A67DD6C-D0BB-43F3-AA26-412FCE3731CA}"/>
  <tableColumns count="8">
    <tableColumn id="7" xr3:uid="{0BB66B92-4CA6-49DD-BD75-9EC284C13CED}" name="Item" dataDxfId="205" dataCellStyle="60% - Accent3"/>
    <tableColumn id="1" xr3:uid="{5E1E7093-A6CF-4981-8A4A-34F0A3E2266F}" name="Notes" dataDxfId="204" dataCellStyle="60% - Accent3"/>
    <tableColumn id="2" xr3:uid="{3B1491DA-B100-412A-8141-F5FF988C9C3A}" name="Duration" dataDxfId="203" dataCellStyle="Currency"/>
    <tableColumn id="3" xr3:uid="{2C79265E-FCAA-4BEF-87C4-529CD6620B17}" name="Cost" dataDxfId="202" dataCellStyle="Currency"/>
    <tableColumn id="4" xr3:uid="{9308104E-6FF8-41E4-8127-D575E331C04A}" name="Frequency" dataDxfId="201"/>
    <tableColumn id="5" xr3:uid="{FC92A681-527C-4328-8B9E-623233E7E22D}" name="Unit" dataDxfId="200"/>
    <tableColumn id="6" xr3:uid="{D50079D9-712C-4E21-93CF-3202AF44241A}" name="Monthly Cost Per Unit" dataDxfId="199">
      <calculatedColumnFormula array="1">_xlfn.IFS(Operations18677277828792971021071121171241291341391441491541595297222732374247[[#This Row],[Unit]]="Program-wide",((_xlfn.IFS(Operations18677277828792971021071121171241291341391441491541595297222732374247[[#This Row],[Frequency]]="Per Year",Operations18677277828792971021071121171241291341391441491541595297222732374247[[#This Row],[Cost]]/12,Operations18677277828792971021071121171241291341391441491541595297222732374247[[#This Row],[Frequency]]="Per month",Operations18677277828792971021071121171241291341391441491541595297222732374247[[#This Row],[Cost]],Operations18677277828792971021071121171241291341391441491541595297222732374247[[#This Row],[Frequency]]="Per day",Operations18677277828792971021071121171241291341391441491541595297222732374247[[#This Row],[Cost]]*30,Operations18677277828792971021071121171241291341391441491541595297222732374247[[#This Row],[Frequency]]="One-time",Operations18677277828792971021071121171241291341391441491541595297222732374247[[#This Row],[Cost]]/12))/$C$17),Operations18677277828792971021071121171241291341391441491541595297222732374247[[#This Row],[Unit]]="Per unit/space/household",(_xlfn.IFS(Operations18677277828792971021071121171241291341391441491541595297222732374247[[#This Row],[Frequency]]="Per Year",Operations18677277828792971021071121171241291341391441491541595297222732374247[[#This Row],[Cost]]/12,Operations18677277828792971021071121171241291341391441491541595297222732374247[[#This Row],[Frequency]]="Per month",Operations18677277828792971021071121171241291341391441491541595297222732374247[[#This Row],[Cost]],Operations18677277828792971021071121171241291341391441491541595297222732374247[[#This Row],[Frequency]]="Per day",Operations18677277828792971021071121171241291341391441491541595297222732374247[[#This Row],[Cost]]*30,Operations18677277828792971021071121171241291341391441491541595297222732374247[[#This Row],[Frequency]]="One-time",Operations18677277828792971021071121171241291341391441491541595297222732374247[[#This Row],[Cost]]/SUM($C$18,$C$19))))</calculatedColumnFormula>
    </tableColumn>
    <tableColumn id="8" xr3:uid="{F566ADB5-E0F0-47C5-8E1F-B77A791AD4B6}" name="Annual Cost Per Unit" dataDxfId="198"/>
  </tableColumns>
  <tableStyleInfo name="TableStyleMedium18" showFirstColumn="0" showLastColumn="0" showRowStripes="0"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391BE7B9-C423-4EA7-9D4E-192FCFD18CFE}" name="RentalAssistance19687378838893981031081131181251301351401451501551605398232833384348" displayName="RentalAssistance19687378838893981031081131181251301351401451501551605398232833384348" ref="A76:H90" totalsRowShown="0" headerRowDxfId="197" dataDxfId="196" tableBorderDxfId="195" headerRowCellStyle="Accent3">
  <autoFilter ref="A76:H90" xr:uid="{391BE7B9-C423-4EA7-9D4E-192FCFD18CFE}"/>
  <tableColumns count="8">
    <tableColumn id="7" xr3:uid="{7C12D8E1-39E4-41E4-99D1-1D10B636071A}" name="Item" dataDxfId="194" dataCellStyle="60% - Accent3"/>
    <tableColumn id="1" xr3:uid="{CB9EA22F-0174-4BBF-9DCD-81DEF44D1BF7}" name="Notes" dataDxfId="193" dataCellStyle="60% - Accent3"/>
    <tableColumn id="2" xr3:uid="{505A5AB2-3C85-4415-B729-BAEEE2DDA463}" name="Duration" dataDxfId="192" dataCellStyle="Currency"/>
    <tableColumn id="3" xr3:uid="{02A8A17D-2487-49C5-A543-9FAAF3A5998C}" name="Cost" dataDxfId="191" dataCellStyle="Currency"/>
    <tableColumn id="4" xr3:uid="{0A69AE36-D780-498C-A779-59975A6BAD80}" name="Frequency" dataDxfId="190"/>
    <tableColumn id="5" xr3:uid="{1EA72144-D64B-45C4-B6D1-92D0E118CD3C}" name="Unit" dataDxfId="189"/>
    <tableColumn id="6" xr3:uid="{77A86F6B-6B11-47D8-BF08-0E0AF214E4AB}" name="Monthly Cost Per Unit" dataDxfId="188">
      <calculatedColumnFormula array="1">_xlfn.IFS(RentalAssistance19687378838893981031081131181251301351401451501551605398232833384348[[#This Row],[Unit]]="Program-wide",((_xlfn.IFS(RentalAssistance19687378838893981031081131181251301351401451501551605398232833384348[[#This Row],[Frequency]]="Per Year",RentalAssistance19687378838893981031081131181251301351401451501551605398232833384348[[#This Row],[Cost]]/12,RentalAssistance19687378838893981031081131181251301351401451501551605398232833384348[[#This Row],[Frequency]]="Per month",RentalAssistance19687378838893981031081131181251301351401451501551605398232833384348[[#This Row],[Cost]],RentalAssistance19687378838893981031081131181251301351401451501551605398232833384348[[#This Row],[Frequency]]="Per day",RentalAssistance19687378838893981031081131181251301351401451501551605398232833384348[[#This Row],[Cost]]*30,RentalAssistance19687378838893981031081131181251301351401451501551605398232833384348[[#This Row],[Frequency]]="One-time",RentalAssistance19687378838893981031081131181251301351401451501551605398232833384348[[#This Row],[Cost]]/12))/$C$17),RentalAssistance19687378838893981031081131181251301351401451501551605398232833384348[[#This Row],[Unit]]="Per unit/space/household",(_xlfn.IFS(RentalAssistance19687378838893981031081131181251301351401451501551605398232833384348[[#This Row],[Frequency]]="Per Year",RentalAssistance19687378838893981031081131181251301351401451501551605398232833384348[[#This Row],[Cost]]/12,RentalAssistance19687378838893981031081131181251301351401451501551605398232833384348[[#This Row],[Frequency]]="Per month",RentalAssistance19687378838893981031081131181251301351401451501551605398232833384348[[#This Row],[Cost]],RentalAssistance19687378838893981031081131181251301351401451501551605398232833384348[[#This Row],[Frequency]]="Per day",RentalAssistance19687378838893981031081131181251301351401451501551605398232833384348[[#This Row],[Cost]]*30,RentalAssistance19687378838893981031081131181251301351401451501551605398232833384348[[#This Row],[Frequency]]="One-time",RentalAssistance19687378838893981031081131181251301351401451501551605398232833384348[[#This Row],[Cost]]/SUM($C$18,$C$19))))</calculatedColumnFormula>
    </tableColumn>
    <tableColumn id="8" xr3:uid="{0629A8D2-FC21-4AC5-9AD1-818C34E5BB88}" name="Annual Cost Per Unit" dataDxfId="187"/>
  </tableColumns>
  <tableStyleInfo name="TableStyleMedium18" showFirstColumn="0" showLastColumn="0" showRowStripes="0"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774F6750-763D-4CC8-85CB-AD19E89598FE}" name="Services110697479848994991041091141191261311361411461511561615499242934394449" displayName="Services110697479848994991041091141191261311361411461511561615499242934394449" ref="A94:H112" totalsRowShown="0" headerRowDxfId="186" dataDxfId="185" tableBorderDxfId="184" headerRowCellStyle="Accent3">
  <autoFilter ref="A94:H112" xr:uid="{774F6750-763D-4CC8-85CB-AD19E89598FE}"/>
  <tableColumns count="8">
    <tableColumn id="7" xr3:uid="{70D264C7-2D42-413D-A114-7FAECEF8AA3D}" name="Item" dataDxfId="183" dataCellStyle="60% - Accent3"/>
    <tableColumn id="1" xr3:uid="{2A05223B-14EB-4C0B-9D15-53D0CB13969B}" name="Notes" dataDxfId="182" dataCellStyle="60% - Accent3"/>
    <tableColumn id="2" xr3:uid="{736C15DE-60E7-4107-A237-48019E25A2FB}" name="Duration" dataDxfId="181" dataCellStyle="Currency"/>
    <tableColumn id="3" xr3:uid="{3E43C0AD-E845-476B-BFBD-7AAF9C7401E4}" name="Cost" dataDxfId="180" dataCellStyle="Currency"/>
    <tableColumn id="4" xr3:uid="{C37D9840-5BEA-4352-98B0-3DC571F6B8DD}" name="Frequency" dataDxfId="179"/>
    <tableColumn id="5" xr3:uid="{BDB47CC2-BCEC-492E-81F9-C0EDA4FB22C4}" name="Unit" dataDxfId="178"/>
    <tableColumn id="6" xr3:uid="{537593FB-899B-4C27-B534-94A2EBFC1F46}" name="Monthly Cost Per Unit" dataDxfId="177">
      <calculatedColumnFormula array="1">_xlfn.IFS(Services110697479848994991041091141191261311361411461511561615499242934394449[[#This Row],[Unit]]="Program-wide",((_xlfn.IFS(Services110697479848994991041091141191261311361411461511561615499242934394449[[#This Row],[Frequency]]="Per Year",Services110697479848994991041091141191261311361411461511561615499242934394449[[#This Row],[Cost]]/12,Services110697479848994991041091141191261311361411461511561615499242934394449[[#This Row],[Frequency]]="Per month",Services110697479848994991041091141191261311361411461511561615499242934394449[[#This Row],[Cost]],Services110697479848994991041091141191261311361411461511561615499242934394449[[#This Row],[Frequency]]="Per day",Services110697479848994991041091141191261311361411461511561615499242934394449[[#This Row],[Cost]]*30,Services110697479848994991041091141191261311361411461511561615499242934394449[[#This Row],[Frequency]]="One-time",Services110697479848994991041091141191261311361411461511561615499242934394449[[#This Row],[Cost]]/12))/$C$17),Services110697479848994991041091141191261311361411461511561615499242934394449[[#This Row],[Unit]]="Per unit/space/household",(_xlfn.IFS(Services110697479848994991041091141191261311361411461511561615499242934394449[[#This Row],[Frequency]]="Per Year",Services110697479848994991041091141191261311361411461511561615499242934394449[[#This Row],[Cost]]/12,Services110697479848994991041091141191261311361411461511561615499242934394449[[#This Row],[Frequency]]="Per month",Services110697479848994991041091141191261311361411461511561615499242934394449[[#This Row],[Cost]],Services110697479848994991041091141191261311361411461511561615499242934394449[[#This Row],[Frequency]]="Per day",Services110697479848994991041091141191261311361411461511561615499242934394449[[#This Row],[Cost]]*30,Services110697479848994991041091141191261311361411461511561615499242934394449[[#This Row],[Frequency]]="One-time",Services110697479848994991041091141191261311361411461511561615499242934394449[[#This Row],[Cost]]/SUM($C$18,$C$19))))</calculatedColumnFormula>
    </tableColumn>
    <tableColumn id="8" xr3:uid="{81220C9D-1C99-4460-AA0B-116F39EAE4FC}" name="Annual Cost Per Unit" dataDxfId="176" dataCellStyle="Currency"/>
  </tableColumns>
  <tableStyleInfo name="TableStyleMedium18" showFirstColumn="0" showLastColumn="0" showRowStripes="0"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442A4909-1B52-48B0-975F-63D5B7FB80FD}" name="Other11170758085909510010511011512012713213714214715215716255100253035404550" displayName="Other11170758085909510010511011512012713213714214715215716255100253035404550" ref="A116:H126" totalsRowShown="0" headerRowDxfId="175" dataDxfId="174" tableBorderDxfId="173" headerRowCellStyle="Accent3">
  <autoFilter ref="A116:H126" xr:uid="{442A4909-1B52-48B0-975F-63D5B7FB80FD}"/>
  <tableColumns count="8">
    <tableColumn id="7" xr3:uid="{02B51561-60BD-48A7-97BF-3EB932C28A75}" name="Item" dataDxfId="172" dataCellStyle="60% - Accent3"/>
    <tableColumn id="1" xr3:uid="{1F296D73-35DC-42BB-A63A-1A2C808A83D1}" name="Notes" dataDxfId="171" dataCellStyle="60% - Accent3"/>
    <tableColumn id="2" xr3:uid="{EAC903B4-5842-49BD-AE70-45DE249FDC2C}" name="Duration" dataDxfId="170" dataCellStyle="Currency"/>
    <tableColumn id="3" xr3:uid="{24DA6DBD-4246-4FBA-AEC3-543AD82EA770}" name="Cost" dataDxfId="169" dataCellStyle="Currency"/>
    <tableColumn id="4" xr3:uid="{4DA3DBFC-04A8-4349-A3CB-0A36205889FE}" name="Frequency" dataDxfId="168"/>
    <tableColumn id="5" xr3:uid="{AFF523B9-67DA-41F9-8539-A06A1B38AE6C}" name="Unit" dataDxfId="167"/>
    <tableColumn id="6" xr3:uid="{62294346-5EF0-4E0F-9BAE-293AF9B9EE52}" name="Monthly Cost Per Unit" dataDxfId="166">
      <calculatedColumnFormula array="1">_xlfn.IFS(Other11170758085909510010511011512012713213714214715215716255100253035404550[[#This Row],[Unit]]="Program-wide",((_xlfn.IFS(Other11170758085909510010511011512012713213714214715215716255100253035404550[[#This Row],[Frequency]]="Per Year",Other11170758085909510010511011512012713213714214715215716255100253035404550[[#This Row],[Cost]]/12,Other11170758085909510010511011512012713213714214715215716255100253035404550[[#This Row],[Frequency]]="Per month",Other11170758085909510010511011512012713213714214715215716255100253035404550[[#This Row],[Cost]],Other11170758085909510010511011512012713213714214715215716255100253035404550[[#This Row],[Frequency]]="Per day",Other11170758085909510010511011512012713213714214715215716255100253035404550[[#This Row],[Cost]]*30,Other11170758085909510010511011512012713213714214715215716255100253035404550[[#This Row],[Frequency]]="One-time",Other11170758085909510010511011512012713213714214715215716255100253035404550[[#This Row],[Cost]]/12))/$C$17),Other11170758085909510010511011512012713213714214715215716255100253035404550[[#This Row],[Unit]]="Per unit/space/household",(_xlfn.IFS(Other11170758085909510010511011512012713213714214715215716255100253035404550[[#This Row],[Frequency]]="Per Year",Other11170758085909510010511011512012713213714214715215716255100253035404550[[#This Row],[Cost]]/12,Other11170758085909510010511011512012713213714214715215716255100253035404550[[#This Row],[Frequency]]="Per month",Other11170758085909510010511011512012713213714214715215716255100253035404550[[#This Row],[Cost]],Other11170758085909510010511011512012713213714214715215716255100253035404550[[#This Row],[Frequency]]="Per day",Other11170758085909510010511011512012713213714214715215716255100253035404550[[#This Row],[Cost]]*30,Other11170758085909510010511011512012713213714214715215716255100253035404550[[#This Row],[Frequency]]="One-time",Other11170758085909510010511011512012713213714214715215716255100253035404550[[#This Row],[Cost]]/SUM($C$18,$C$19))))</calculatedColumnFormula>
    </tableColumn>
    <tableColumn id="8" xr3:uid="{1B5DE338-F25B-4200-AADF-818DAD02FF65}" name="Annual Cost Per Unit" dataDxfId="165"/>
  </tableColumns>
  <tableStyleInfo name="TableStyleMedium18" showFirstColumn="0" showLastColumn="0" showRowStripes="0"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A0906DF3-6DCF-4462-BA70-820D858D5AE0}" name="Administrative1766717681869196101106111116123128133138143148153158519621263136414651" displayName="Administrative1766717681869196101106111116123128133138143148153158519621263136414651" ref="A26:H36" totalsRowShown="0" headerRowDxfId="164" dataDxfId="163" tableBorderDxfId="162" headerRowCellStyle="Accent3">
  <autoFilter ref="A26:H36" xr:uid="{A0906DF3-6DCF-4462-BA70-820D858D5AE0}"/>
  <tableColumns count="8">
    <tableColumn id="7" xr3:uid="{7B17C9A8-650A-48C9-BFD3-27545305871A}" name="Item" dataDxfId="161" dataCellStyle="60% - Accent3"/>
    <tableColumn id="1" xr3:uid="{225B4DA3-1DD1-4C7E-AF37-FEC7857C63D9}" name="Notes" dataDxfId="160" dataCellStyle="60% - Accent3"/>
    <tableColumn id="2" xr3:uid="{5BC813F6-72F0-4AA1-9D28-605F574EEB3B}" name="Duration" dataDxfId="159" dataCellStyle="Currency"/>
    <tableColumn id="3" xr3:uid="{603CDFDB-EB5F-4FDD-9CAB-373415A78498}" name="Cost" dataDxfId="158" dataCellStyle="Currency"/>
    <tableColumn id="4" xr3:uid="{CAA580E4-1CF4-453D-A114-9979CBBE9921}" name="Frequency" dataDxfId="157"/>
    <tableColumn id="5" xr3:uid="{871B7E56-72E4-4212-A44E-F66EFE159C3A}" name="Unit" dataDxfId="156"/>
    <tableColumn id="6" xr3:uid="{75A103C8-7AA4-4F01-8744-B79C213653A0}" name="Monthly Cost Per Unit" dataDxfId="155">
      <calculatedColumnFormula array="1">_xlfn.IFS(Administrative1766717681869196101106111116123128133138143148153158519621263136414651[[#This Row],[Unit]]="Program-wide",((_xlfn.IFS(Administrative1766717681869196101106111116123128133138143148153158519621263136414651[[#This Row],[Frequency]]="Per Year",Administrative1766717681869196101106111116123128133138143148153158519621263136414651[[#This Row],[Cost]]/12,Administrative1766717681869196101106111116123128133138143148153158519621263136414651[[#This Row],[Frequency]]="Per month",Administrative1766717681869196101106111116123128133138143148153158519621263136414651[[#This Row],[Cost]],Administrative1766717681869196101106111116123128133138143148153158519621263136414651[[#This Row],[Frequency]]="Per day",Administrative1766717681869196101106111116123128133138143148153158519621263136414651[[#This Row],[Cost]]*30,Administrative1766717681869196101106111116123128133138143148153158519621263136414651[[#This Row],[Frequency]]="One-time",Administrative1766717681869196101106111116123128133138143148153158519621263136414651[[#This Row],[Cost]]/12))/$C$17),Administrative1766717681869196101106111116123128133138143148153158519621263136414651[[#This Row],[Unit]]="Per unit/space/household",(_xlfn.IFS(Administrative1766717681869196101106111116123128133138143148153158519621263136414651[[#This Row],[Frequency]]="Per Year",Administrative1766717681869196101106111116123128133138143148153158519621263136414651[[#This Row],[Cost]]/12,Administrative1766717681869196101106111116123128133138143148153158519621263136414651[[#This Row],[Frequency]]="Per month",Administrative1766717681869196101106111116123128133138143148153158519621263136414651[[#This Row],[Cost]],Administrative1766717681869196101106111116123128133138143148153158519621263136414651[[#This Row],[Frequency]]="Per day",Administrative1766717681869196101106111116123128133138143148153158519621263136414651[[#This Row],[Cost]]*30,Administrative1766717681869196101106111116123128133138143148153158519621263136414651[[#This Row],[Frequency]]="One-time",Administrative1766717681869196101106111116123128133138143148153158519621263136414651[[#This Row],[Cost]]/SUM($C$18,$C$19))))</calculatedColumnFormula>
    </tableColumn>
    <tableColumn id="8" xr3:uid="{7E7A484E-6A2A-44FE-80B1-A31BB30CB951}" name="Annual Cost Per Unit" dataDxfId="154"/>
  </tableColumns>
  <tableStyleInfo name="TableStyleMedium18" showFirstColumn="0" showLastColumn="0" showRowStripes="0"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D978BAED-C911-4A53-A3B2-94155D8BE3F0}" name="Operations1867727782879297102107112117124129134139144149154159529722273237424752" displayName="Operations1867727782879297102107112117124129134139144149154159529722273237424752" ref="A40:H57" totalsRowShown="0" headerRowDxfId="153" dataDxfId="152" tableBorderDxfId="151" headerRowCellStyle="Accent3">
  <autoFilter ref="A40:H57" xr:uid="{D978BAED-C911-4A53-A3B2-94155D8BE3F0}"/>
  <tableColumns count="8">
    <tableColumn id="7" xr3:uid="{183FA551-D4A3-4C12-9A31-B49A04FF6C25}" name="Item" dataDxfId="150" dataCellStyle="60% - Accent3"/>
    <tableColumn id="1" xr3:uid="{21F3411E-7B04-4800-B7B5-7281B0DC7DE4}" name="Notes" dataDxfId="149" dataCellStyle="60% - Accent3"/>
    <tableColumn id="2" xr3:uid="{1C09D271-487B-429B-B777-18EF98DB1EA8}" name="Duration" dataDxfId="148" dataCellStyle="Currency"/>
    <tableColumn id="3" xr3:uid="{0888C4DC-271A-41A8-9EC7-961E3851B66C}" name="Cost" dataDxfId="147" dataCellStyle="Currency"/>
    <tableColumn id="4" xr3:uid="{5E92C3D4-402A-4A01-93DC-853EF2309438}" name="Frequency" dataDxfId="146"/>
    <tableColumn id="5" xr3:uid="{CC2C8AF8-C004-4E5F-A761-EDB5B8B78A08}" name="Unit" dataDxfId="145"/>
    <tableColumn id="6" xr3:uid="{C2EE1ED6-FDCA-4944-80A3-1BF634F5415F}" name="Monthly Cost Per Unit" dataDxfId="144">
      <calculatedColumnFormula array="1">_xlfn.IFS(Operations1867727782879297102107112117124129134139144149154159529722273237424752[[#This Row],[Unit]]="Program-wide",((_xlfn.IFS(Operations1867727782879297102107112117124129134139144149154159529722273237424752[[#This Row],[Frequency]]="Per Year",Operations1867727782879297102107112117124129134139144149154159529722273237424752[[#This Row],[Cost]]/12,Operations1867727782879297102107112117124129134139144149154159529722273237424752[[#This Row],[Frequency]]="Per month",Operations1867727782879297102107112117124129134139144149154159529722273237424752[[#This Row],[Cost]],Operations1867727782879297102107112117124129134139144149154159529722273237424752[[#This Row],[Frequency]]="Per day",Operations1867727782879297102107112117124129134139144149154159529722273237424752[[#This Row],[Cost]]*30,Operations1867727782879297102107112117124129134139144149154159529722273237424752[[#This Row],[Frequency]]="One-time",Operations1867727782879297102107112117124129134139144149154159529722273237424752[[#This Row],[Cost]]/12))/$C$17),Operations1867727782879297102107112117124129134139144149154159529722273237424752[[#This Row],[Unit]]="Per unit/space/household",(_xlfn.IFS(Operations1867727782879297102107112117124129134139144149154159529722273237424752[[#This Row],[Frequency]]="Per Year",Operations1867727782879297102107112117124129134139144149154159529722273237424752[[#This Row],[Cost]]/12,Operations1867727782879297102107112117124129134139144149154159529722273237424752[[#This Row],[Frequency]]="Per month",Operations1867727782879297102107112117124129134139144149154159529722273237424752[[#This Row],[Cost]],Operations1867727782879297102107112117124129134139144149154159529722273237424752[[#This Row],[Frequency]]="Per day",Operations1867727782879297102107112117124129134139144149154159529722273237424752[[#This Row],[Cost]]*30,Operations1867727782879297102107112117124129134139144149154159529722273237424752[[#This Row],[Frequency]]="One-time",Operations1867727782879297102107112117124129134139144149154159529722273237424752[[#This Row],[Cost]]/SUM($C$18,$C$19))))</calculatedColumnFormula>
    </tableColumn>
    <tableColumn id="8" xr3:uid="{A3B60DD7-B742-4F4B-9441-3CAAA5C5203D}" name="Annual Cost Per Unit" dataDxfId="143"/>
  </tableColumns>
  <tableStyleInfo name="TableStyleMedium18" showFirstColumn="0" showLastColumn="0" showRowStripes="0"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C1C73724-91A8-417A-ADCE-C0C768203BAB}" name="RentalAssistance1968737883889398103108113118125130135140145150155160539823283338434853" displayName="RentalAssistance1968737883889398103108113118125130135140145150155160539823283338434853" ref="A76:H90" totalsRowShown="0" headerRowDxfId="142" dataDxfId="141" tableBorderDxfId="140" headerRowCellStyle="Accent3">
  <autoFilter ref="A76:H90" xr:uid="{C1C73724-91A8-417A-ADCE-C0C768203BAB}"/>
  <tableColumns count="8">
    <tableColumn id="7" xr3:uid="{3FE27E6E-6F27-4382-BB87-C116AC38369A}" name="Item" dataDxfId="139" dataCellStyle="60% - Accent3"/>
    <tableColumn id="1" xr3:uid="{06A877E4-C506-4A7E-B4D9-BDAB6DB171EA}" name="Notes" dataDxfId="138" dataCellStyle="60% - Accent3"/>
    <tableColumn id="2" xr3:uid="{2C71ED24-2E0D-4C42-8B82-109EA2628B3C}" name="Duration" dataDxfId="137" dataCellStyle="Currency"/>
    <tableColumn id="3" xr3:uid="{82517142-4083-46D7-9975-B02F1A66A63B}" name="Cost" dataDxfId="136" dataCellStyle="Currency"/>
    <tableColumn id="4" xr3:uid="{34E899F5-DD9C-47D9-9A2B-3E82EC0FFF49}" name="Frequency" dataDxfId="135"/>
    <tableColumn id="5" xr3:uid="{8D4B6202-57F0-45B8-9F29-241CC5DC4A80}" name="Unit" dataDxfId="134"/>
    <tableColumn id="6" xr3:uid="{D7A672D8-E625-42C2-AA02-00B2DBB7C3BD}" name="Monthly Cost Per Unit" dataDxfId="133">
      <calculatedColumnFormula array="1">_xlfn.IFS(RentalAssistance1968737883889398103108113118125130135140145150155160539823283338434853[[#This Row],[Unit]]="Program-wide",((_xlfn.IFS(RentalAssistance1968737883889398103108113118125130135140145150155160539823283338434853[[#This Row],[Frequency]]="Per Year",RentalAssistance1968737883889398103108113118125130135140145150155160539823283338434853[[#This Row],[Cost]]/12,RentalAssistance1968737883889398103108113118125130135140145150155160539823283338434853[[#This Row],[Frequency]]="Per month",RentalAssistance1968737883889398103108113118125130135140145150155160539823283338434853[[#This Row],[Cost]],RentalAssistance1968737883889398103108113118125130135140145150155160539823283338434853[[#This Row],[Frequency]]="Per day",RentalAssistance1968737883889398103108113118125130135140145150155160539823283338434853[[#This Row],[Cost]]*30,RentalAssistance1968737883889398103108113118125130135140145150155160539823283338434853[[#This Row],[Frequency]]="One-time",RentalAssistance1968737883889398103108113118125130135140145150155160539823283338434853[[#This Row],[Cost]]/12))/$C$17),RentalAssistance1968737883889398103108113118125130135140145150155160539823283338434853[[#This Row],[Unit]]="Per unit/space/household",(_xlfn.IFS(RentalAssistance1968737883889398103108113118125130135140145150155160539823283338434853[[#This Row],[Frequency]]="Per Year",RentalAssistance1968737883889398103108113118125130135140145150155160539823283338434853[[#This Row],[Cost]]/12,RentalAssistance1968737883889398103108113118125130135140145150155160539823283338434853[[#This Row],[Frequency]]="Per month",RentalAssistance1968737883889398103108113118125130135140145150155160539823283338434853[[#This Row],[Cost]],RentalAssistance1968737883889398103108113118125130135140145150155160539823283338434853[[#This Row],[Frequency]]="Per day",RentalAssistance1968737883889398103108113118125130135140145150155160539823283338434853[[#This Row],[Cost]]*30,RentalAssistance1968737883889398103108113118125130135140145150155160539823283338434853[[#This Row],[Frequency]]="One-time",RentalAssistance1968737883889398103108113118125130135140145150155160539823283338434853[[#This Row],[Cost]]/SUM($C$18,$C$19))))</calculatedColumnFormula>
    </tableColumn>
    <tableColumn id="8" xr3:uid="{EEB4FE88-728F-4D5D-8734-ABEA91A72E87}" name="Annual Cost Per Unit" dataDxfId="132"/>
  </tableColumns>
  <tableStyleInfo name="TableStyleMedium18"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C347B24-49EF-4932-BD7A-F145CCF623FF}" name="Operations18" displayName="Operations18" ref="A40:H57" totalsRowShown="0" headerRowDxfId="626" tableBorderDxfId="625" headerRowCellStyle="Accent3">
  <autoFilter ref="A40:H57" xr:uid="{7C347B24-49EF-4932-BD7A-F145CCF623FF}"/>
  <tableColumns count="8">
    <tableColumn id="7" xr3:uid="{ACD826D1-AFB4-485C-9563-594782CAAB5B}" name="Item" dataDxfId="624" dataCellStyle="60% - Accent3"/>
    <tableColumn id="1" xr3:uid="{6A69996E-F149-40B2-9632-3C6E95C604C8}" name="Notes" dataDxfId="623" dataCellStyle="60% - Accent3"/>
    <tableColumn id="2" xr3:uid="{F16A95FA-C164-43AE-8068-68320FD5DFA6}" name="Duration" dataDxfId="622" dataCellStyle="Currency"/>
    <tableColumn id="3" xr3:uid="{E452E162-A205-40F0-B9C9-0F4C9FF5BD45}" name="Cost" dataDxfId="621" dataCellStyle="Currency"/>
    <tableColumn id="4" xr3:uid="{1F594D7C-5E98-4464-B3F4-ECB3E58ECF14}" name="Frequency"/>
    <tableColumn id="5" xr3:uid="{A528197E-7312-4F2C-8A83-5F4E80029B3C}" name="Unit"/>
    <tableColumn id="6" xr3:uid="{0C543632-F7FA-4BAA-99C8-D192E533FFB8}" name="Monthly Cost Per Unit" dataDxfId="620">
      <calculatedColumnFormula array="1">_xlfn.IFS(Operations18[[#This Row],[Unit]]="Program-wide",((_xlfn.IFS(Operations18[[#This Row],[Frequency]]="Per Year",Operations18[[#This Row],[Cost]]/12,Operations18[[#This Row],[Frequency]]="Per month",Operations18[[#This Row],[Cost]],Operations18[[#This Row],[Frequency]]="Per day",Operations18[[#This Row],[Cost]]*30,Operations18[[#This Row],[Frequency]]="One-time",Operations18[[#This Row],[Cost]]/12))/$C$17),Operations18[[#This Row],[Unit]]="Per unit/space/household",(_xlfn.IFS(Operations18[[#This Row],[Frequency]]="Per Year",Operations18[[#This Row],[Cost]]/12,Operations18[[#This Row],[Frequency]]="Per month",Operations18[[#This Row],[Cost]],Operations18[[#This Row],[Frequency]]="Per day",Operations18[[#This Row],[Cost]]*30,Operations18[[#This Row],[Frequency]]="One-time",Operations18[[#This Row],[Cost]]/SUM($C$18,$C$19))))</calculatedColumnFormula>
    </tableColumn>
    <tableColumn id="8" xr3:uid="{151BE8F9-B31D-4498-8B2A-1F14A8169C4A}" name="Annual Cost Per Unit" dataDxfId="619"/>
  </tableColumns>
  <tableStyleInfo name="TableStyleMedium18" showFirstColumn="0" showLastColumn="0" showRowStripes="0"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14109456-210D-4C8A-AA1A-27380F963DB0}" name="Services11069747984899499104109114119126131136141146151156161549924293439444954" displayName="Services11069747984899499104109114119126131136141146151156161549924293439444954" ref="A94:H112" totalsRowShown="0" headerRowDxfId="131" dataDxfId="130" tableBorderDxfId="129" headerRowCellStyle="Accent3">
  <autoFilter ref="A94:H112" xr:uid="{14109456-210D-4C8A-AA1A-27380F963DB0}"/>
  <tableColumns count="8">
    <tableColumn id="7" xr3:uid="{1B4977D8-ED3D-4983-9A68-9F58FDA904BC}" name="Item" dataDxfId="128" dataCellStyle="60% - Accent3"/>
    <tableColumn id="1" xr3:uid="{B3446CCA-6829-4A4D-8CA2-9BF9BE831C59}" name="Notes" dataDxfId="127" dataCellStyle="60% - Accent3"/>
    <tableColumn id="2" xr3:uid="{5C077DD6-BB7A-4904-ABBB-968B511BB56E}" name="Duration" dataDxfId="126" dataCellStyle="Currency"/>
    <tableColumn id="3" xr3:uid="{6C697284-B040-46C3-9720-8A520845DAB5}" name="Cost" dataDxfId="125" dataCellStyle="Currency"/>
    <tableColumn id="4" xr3:uid="{6DDD6919-683A-4E48-9231-B537354CEE9C}" name="Frequency" dataDxfId="124"/>
    <tableColumn id="5" xr3:uid="{CF69EE64-00D6-4B97-BD19-E006DFDDCAFD}" name="Unit" dataDxfId="123"/>
    <tableColumn id="6" xr3:uid="{02009723-A736-4090-97D8-FF964E27BC8F}" name="Monthly Cost Per Unit" dataDxfId="122">
      <calculatedColumnFormula array="1">_xlfn.IFS(Services11069747984899499104109114119126131136141146151156161549924293439444954[[#This Row],[Unit]]="Program-wide",((_xlfn.IFS(Services11069747984899499104109114119126131136141146151156161549924293439444954[[#This Row],[Frequency]]="Per Year",Services11069747984899499104109114119126131136141146151156161549924293439444954[[#This Row],[Cost]]/12,Services11069747984899499104109114119126131136141146151156161549924293439444954[[#This Row],[Frequency]]="Per month",Services11069747984899499104109114119126131136141146151156161549924293439444954[[#This Row],[Cost]],Services11069747984899499104109114119126131136141146151156161549924293439444954[[#This Row],[Frequency]]="Per day",Services11069747984899499104109114119126131136141146151156161549924293439444954[[#This Row],[Cost]]*30,Services11069747984899499104109114119126131136141146151156161549924293439444954[[#This Row],[Frequency]]="One-time",Services11069747984899499104109114119126131136141146151156161549924293439444954[[#This Row],[Cost]]/12))/$C$17),Services11069747984899499104109114119126131136141146151156161549924293439444954[[#This Row],[Unit]]="Per unit/space/household",(_xlfn.IFS(Services11069747984899499104109114119126131136141146151156161549924293439444954[[#This Row],[Frequency]]="Per Year",Services11069747984899499104109114119126131136141146151156161549924293439444954[[#This Row],[Cost]]/12,Services11069747984899499104109114119126131136141146151156161549924293439444954[[#This Row],[Frequency]]="Per month",Services11069747984899499104109114119126131136141146151156161549924293439444954[[#This Row],[Cost]],Services11069747984899499104109114119126131136141146151156161549924293439444954[[#This Row],[Frequency]]="Per day",Services11069747984899499104109114119126131136141146151156161549924293439444954[[#This Row],[Cost]]*30,Services11069747984899499104109114119126131136141146151156161549924293439444954[[#This Row],[Frequency]]="One-time",Services11069747984899499104109114119126131136141146151156161549924293439444954[[#This Row],[Cost]]/SUM($C$18,$C$19))))</calculatedColumnFormula>
    </tableColumn>
    <tableColumn id="8" xr3:uid="{AB981910-2F07-42BC-810C-BD57A15D1919}" name="Annual Cost Per Unit" dataDxfId="121" dataCellStyle="Currency"/>
  </tableColumns>
  <tableStyleInfo name="TableStyleMedium18" showFirstColumn="0" showLastColumn="0" showRowStripes="0"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1D14B82F-A6C7-4541-A667-36FAE2791E38}" name="Other1117075808590951001051101151201271321371421471521571625510025303540455055" displayName="Other1117075808590951001051101151201271321371421471521571625510025303540455055" ref="A116:H126" totalsRowShown="0" headerRowDxfId="120" dataDxfId="119" tableBorderDxfId="118" headerRowCellStyle="Accent3">
  <autoFilter ref="A116:H126" xr:uid="{1D14B82F-A6C7-4541-A667-36FAE2791E38}"/>
  <tableColumns count="8">
    <tableColumn id="7" xr3:uid="{8DDD0395-A77F-4A29-BC31-9BDC790B822D}" name="Item" dataDxfId="117" dataCellStyle="60% - Accent3"/>
    <tableColumn id="1" xr3:uid="{F5A7CF21-15C9-4479-B71B-3C2069943557}" name="Notes" dataDxfId="116" dataCellStyle="60% - Accent3"/>
    <tableColumn id="2" xr3:uid="{88D54272-4613-4E09-8C8D-3EC5072FEFCA}" name="Duration" dataDxfId="115" dataCellStyle="Currency"/>
    <tableColumn id="3" xr3:uid="{DCFA3637-5753-4511-8568-ABA3FACCF84F}" name="Cost" dataDxfId="114" dataCellStyle="Currency"/>
    <tableColumn id="4" xr3:uid="{4271EA54-2D14-4E42-A7EE-2F45D6B95F9B}" name="Frequency" dataDxfId="113"/>
    <tableColumn id="5" xr3:uid="{519A11F6-929C-4CE3-B0DF-182340BED5C8}" name="Unit" dataDxfId="112"/>
    <tableColumn id="6" xr3:uid="{3973D886-71BE-4590-A3D1-D9B6F9C658B7}" name="Monthly Cost Per Unit" dataDxfId="111">
      <calculatedColumnFormula array="1">_xlfn.IFS(Other1117075808590951001051101151201271321371421471521571625510025303540455055[[#This Row],[Unit]]="Program-wide",((_xlfn.IFS(Other1117075808590951001051101151201271321371421471521571625510025303540455055[[#This Row],[Frequency]]="Per Year",Other1117075808590951001051101151201271321371421471521571625510025303540455055[[#This Row],[Cost]]/12,Other1117075808590951001051101151201271321371421471521571625510025303540455055[[#This Row],[Frequency]]="Per month",Other1117075808590951001051101151201271321371421471521571625510025303540455055[[#This Row],[Cost]],Other1117075808590951001051101151201271321371421471521571625510025303540455055[[#This Row],[Frequency]]="Per day",Other1117075808590951001051101151201271321371421471521571625510025303540455055[[#This Row],[Cost]]*30,Other1117075808590951001051101151201271321371421471521571625510025303540455055[[#This Row],[Frequency]]="One-time",Other1117075808590951001051101151201271321371421471521571625510025303540455055[[#This Row],[Cost]]/12))/$C$17),Other1117075808590951001051101151201271321371421471521571625510025303540455055[[#This Row],[Unit]]="Per unit/space/household",(_xlfn.IFS(Other1117075808590951001051101151201271321371421471521571625510025303540455055[[#This Row],[Frequency]]="Per Year",Other1117075808590951001051101151201271321371421471521571625510025303540455055[[#This Row],[Cost]]/12,Other1117075808590951001051101151201271321371421471521571625510025303540455055[[#This Row],[Frequency]]="Per month",Other1117075808590951001051101151201271321371421471521571625510025303540455055[[#This Row],[Cost]],Other1117075808590951001051101151201271321371421471521571625510025303540455055[[#This Row],[Frequency]]="Per day",Other1117075808590951001051101151201271321371421471521571625510025303540455055[[#This Row],[Cost]]*30,Other1117075808590951001051101151201271321371421471521571625510025303540455055[[#This Row],[Frequency]]="One-time",Other1117075808590951001051101151201271321371421471521571625510025303540455055[[#This Row],[Cost]]/SUM($C$18,$C$19))))</calculatedColumnFormula>
    </tableColumn>
    <tableColumn id="8" xr3:uid="{70A1F745-0D43-48B9-85F6-742B1090D5B5}" name="Annual Cost Per Unit" dataDxfId="110"/>
  </tableColumns>
  <tableStyleInfo name="TableStyleMedium18" showFirstColumn="0" showLastColumn="0" showRowStripes="0"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A2E18B8C-AC81-4A91-B16F-FEA9FDABC298}" name="Administrative176671768186919610110611111612312813313814314815315851962126313641465156" displayName="Administrative176671768186919610110611111612312813313814314815315851962126313641465156" ref="A26:H36" totalsRowShown="0" headerRowDxfId="109" dataDxfId="108" tableBorderDxfId="107" headerRowCellStyle="Accent3">
  <autoFilter ref="A26:H36" xr:uid="{A2E18B8C-AC81-4A91-B16F-FEA9FDABC298}"/>
  <tableColumns count="8">
    <tableColumn id="7" xr3:uid="{A2CB4DA7-696F-4F78-BEA1-0BF2927D522D}" name="Item" dataDxfId="106" dataCellStyle="60% - Accent3"/>
    <tableColumn id="1" xr3:uid="{83E6C19F-0C74-4A56-965C-81826532821F}" name="Notes" dataDxfId="105" dataCellStyle="60% - Accent3"/>
    <tableColumn id="2" xr3:uid="{A4ABE8FC-08ED-4D83-9224-941FB9920035}" name="Duration" dataDxfId="104" dataCellStyle="Currency"/>
    <tableColumn id="3" xr3:uid="{8795442D-737F-485E-8438-03189467EC54}" name="Cost" dataDxfId="103" dataCellStyle="Currency"/>
    <tableColumn id="4" xr3:uid="{9EA4984F-3EB1-433D-ADC5-1AE3C7D9BD7F}" name="Frequency" dataDxfId="102"/>
    <tableColumn id="5" xr3:uid="{49C1C312-D93F-43D3-A650-E76F4261AB69}" name="Unit" dataDxfId="101"/>
    <tableColumn id="6" xr3:uid="{F36D6B4F-9395-46A9-B1F0-CA7F73F47936}" name="Monthly Cost Per Unit" dataDxfId="100">
      <calculatedColumnFormula array="1">_xlfn.IFS(Administrative176671768186919610110611111612312813313814314815315851962126313641465156[[#This Row],[Unit]]="Program-wide",((_xlfn.IFS(Administrative176671768186919610110611111612312813313814314815315851962126313641465156[[#This Row],[Frequency]]="Per Year",Administrative176671768186919610110611111612312813313814314815315851962126313641465156[[#This Row],[Cost]]/12,Administrative176671768186919610110611111612312813313814314815315851962126313641465156[[#This Row],[Frequency]]="Per month",Administrative176671768186919610110611111612312813313814314815315851962126313641465156[[#This Row],[Cost]],Administrative176671768186919610110611111612312813313814314815315851962126313641465156[[#This Row],[Frequency]]="Per day",Administrative176671768186919610110611111612312813313814314815315851962126313641465156[[#This Row],[Cost]]*30,Administrative176671768186919610110611111612312813313814314815315851962126313641465156[[#This Row],[Frequency]]="One-time",Administrative176671768186919610110611111612312813313814314815315851962126313641465156[[#This Row],[Cost]]/12))/$C$17),Administrative176671768186919610110611111612312813313814314815315851962126313641465156[[#This Row],[Unit]]="Per unit/space/household",(_xlfn.IFS(Administrative176671768186919610110611111612312813313814314815315851962126313641465156[[#This Row],[Frequency]]="Per Year",Administrative176671768186919610110611111612312813313814314815315851962126313641465156[[#This Row],[Cost]]/12,Administrative176671768186919610110611111612312813313814314815315851962126313641465156[[#This Row],[Frequency]]="Per month",Administrative176671768186919610110611111612312813313814314815315851962126313641465156[[#This Row],[Cost]],Administrative176671768186919610110611111612312813313814314815315851962126313641465156[[#This Row],[Frequency]]="Per day",Administrative176671768186919610110611111612312813313814314815315851962126313641465156[[#This Row],[Cost]]*30,Administrative176671768186919610110611111612312813313814314815315851962126313641465156[[#This Row],[Frequency]]="One-time",Administrative176671768186919610110611111612312813313814314815315851962126313641465156[[#This Row],[Cost]]/SUM($C$18,$C$19))))</calculatedColumnFormula>
    </tableColumn>
    <tableColumn id="8" xr3:uid="{981748B7-BE93-4EB6-8052-B48FC9972D95}" name="Annual Cost Per Unit" dataDxfId="99"/>
  </tableColumns>
  <tableStyleInfo name="TableStyleMedium18" showFirstColumn="0" showLastColumn="0" showRowStripes="0"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B75FD060-A5D0-4BEE-A788-56C8725311FA}" name="Operations186772778287929710210711211712412913413914414915415952972227323742475257" displayName="Operations186772778287929710210711211712412913413914414915415952972227323742475257" ref="A40:H57" totalsRowShown="0" headerRowDxfId="98" dataDxfId="97" tableBorderDxfId="96" headerRowCellStyle="Accent3">
  <autoFilter ref="A40:H57" xr:uid="{B75FD060-A5D0-4BEE-A788-56C8725311FA}"/>
  <tableColumns count="8">
    <tableColumn id="7" xr3:uid="{1526F729-3298-4696-9CFF-A57B9643CAC2}" name="Item" dataDxfId="95" dataCellStyle="60% - Accent3"/>
    <tableColumn id="1" xr3:uid="{587245E9-1B3F-4CBF-807C-34102934F2AD}" name="Notes" dataDxfId="94" dataCellStyle="60% - Accent3"/>
    <tableColumn id="2" xr3:uid="{E70B4692-EE29-4974-82C8-C4C8E8E459A3}" name="Duration" dataDxfId="93" dataCellStyle="Currency"/>
    <tableColumn id="3" xr3:uid="{35A9A879-6050-4032-83D6-69E9E22A24E3}" name="Cost" dataDxfId="92" dataCellStyle="Currency"/>
    <tableColumn id="4" xr3:uid="{B3E166D8-CDFA-4DFC-84AD-C255D7E63885}" name="Frequency" dataDxfId="91"/>
    <tableColumn id="5" xr3:uid="{5EC5874E-4AE2-435D-8F36-5CD3CF6B81C1}" name="Unit" dataDxfId="90"/>
    <tableColumn id="6" xr3:uid="{12F854AE-94D0-49AC-86C2-F8EA5FF10710}" name="Monthly Cost Per Unit" dataDxfId="89">
      <calculatedColumnFormula array="1">_xlfn.IFS(Operations186772778287929710210711211712412913413914414915415952972227323742475257[[#This Row],[Unit]]="Program-wide",((_xlfn.IFS(Operations186772778287929710210711211712412913413914414915415952972227323742475257[[#This Row],[Frequency]]="Per Year",Operations186772778287929710210711211712412913413914414915415952972227323742475257[[#This Row],[Cost]]/12,Operations186772778287929710210711211712412913413914414915415952972227323742475257[[#This Row],[Frequency]]="Per month",Operations186772778287929710210711211712412913413914414915415952972227323742475257[[#This Row],[Cost]],Operations186772778287929710210711211712412913413914414915415952972227323742475257[[#This Row],[Frequency]]="Per day",Operations186772778287929710210711211712412913413914414915415952972227323742475257[[#This Row],[Cost]]*30,Operations186772778287929710210711211712412913413914414915415952972227323742475257[[#This Row],[Frequency]]="One-time",Operations186772778287929710210711211712412913413914414915415952972227323742475257[[#This Row],[Cost]]/12))/$C$17),Operations186772778287929710210711211712412913413914414915415952972227323742475257[[#This Row],[Unit]]="Per unit/space/household",(_xlfn.IFS(Operations186772778287929710210711211712412913413914414915415952972227323742475257[[#This Row],[Frequency]]="Per Year",Operations186772778287929710210711211712412913413914414915415952972227323742475257[[#This Row],[Cost]]/12,Operations186772778287929710210711211712412913413914414915415952972227323742475257[[#This Row],[Frequency]]="Per month",Operations186772778287929710210711211712412913413914414915415952972227323742475257[[#This Row],[Cost]],Operations186772778287929710210711211712412913413914414915415952972227323742475257[[#This Row],[Frequency]]="Per day",Operations186772778287929710210711211712412913413914414915415952972227323742475257[[#This Row],[Cost]]*30,Operations186772778287929710210711211712412913413914414915415952972227323742475257[[#This Row],[Frequency]]="One-time",Operations186772778287929710210711211712412913413914414915415952972227323742475257[[#This Row],[Cost]]/SUM($C$18,$C$19))))</calculatedColumnFormula>
    </tableColumn>
    <tableColumn id="8" xr3:uid="{E2431CB3-A2F0-4566-9715-C4C97D130330}" name="Annual Cost Per Unit" dataDxfId="88"/>
  </tableColumns>
  <tableStyleInfo name="TableStyleMedium18" showFirstColumn="0" showLastColumn="0" showRowStripes="0"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4C926379-A1F7-4774-A82C-687E7BD4A51B}" name="RentalAssistance196873788388939810310811311812513013514014515015516053982328333843485358" displayName="RentalAssistance196873788388939810310811311812513013514014515015516053982328333843485358" ref="A76:H90" totalsRowShown="0" headerRowDxfId="87" dataDxfId="86" tableBorderDxfId="85" headerRowCellStyle="Accent3">
  <autoFilter ref="A76:H90" xr:uid="{4C926379-A1F7-4774-A82C-687E7BD4A51B}"/>
  <tableColumns count="8">
    <tableColumn id="7" xr3:uid="{11592131-3B1D-4AF7-85F9-D5B851E1EAA5}" name="Item" dataDxfId="84" dataCellStyle="60% - Accent3"/>
    <tableColumn id="1" xr3:uid="{B722CC15-DDD6-4C30-A98B-4AE9DF239569}" name="Notes" dataDxfId="83" dataCellStyle="60% - Accent3"/>
    <tableColumn id="2" xr3:uid="{EB0CEA0D-1181-4671-9CEE-61CD3543B1CD}" name="Duration" dataDxfId="82" dataCellStyle="Currency"/>
    <tableColumn id="3" xr3:uid="{AFD1E125-CFF7-472F-833D-01904104F10A}" name="Cost" dataDxfId="81" dataCellStyle="Currency"/>
    <tableColumn id="4" xr3:uid="{CBD2DCB6-7EA9-4770-BF7F-B444CE9B6E22}" name="Frequency" dataDxfId="80"/>
    <tableColumn id="5" xr3:uid="{18DCE150-401A-4442-B748-9C07A2AC738A}" name="Unit" dataDxfId="79"/>
    <tableColumn id="6" xr3:uid="{53B6E4FE-73E7-4E7B-9AC2-B4A5C8B225DA}" name="Monthly Cost Per Unit" dataDxfId="78">
      <calculatedColumnFormula array="1">_xlfn.IFS(RentalAssistance196873788388939810310811311812513013514014515015516053982328333843485358[[#This Row],[Unit]]="Program-wide",((_xlfn.IFS(RentalAssistance196873788388939810310811311812513013514014515015516053982328333843485358[[#This Row],[Frequency]]="Per Year",RentalAssistance196873788388939810310811311812513013514014515015516053982328333843485358[[#This Row],[Cost]]/12,RentalAssistance196873788388939810310811311812513013514014515015516053982328333843485358[[#This Row],[Frequency]]="Per month",RentalAssistance196873788388939810310811311812513013514014515015516053982328333843485358[[#This Row],[Cost]],RentalAssistance196873788388939810310811311812513013514014515015516053982328333843485358[[#This Row],[Frequency]]="Per day",RentalAssistance196873788388939810310811311812513013514014515015516053982328333843485358[[#This Row],[Cost]]*30,RentalAssistance196873788388939810310811311812513013514014515015516053982328333843485358[[#This Row],[Frequency]]="One-time",RentalAssistance196873788388939810310811311812513013514014515015516053982328333843485358[[#This Row],[Cost]]/12))/$C$17),RentalAssistance196873788388939810310811311812513013514014515015516053982328333843485358[[#This Row],[Unit]]="Per unit/space/household",(_xlfn.IFS(RentalAssistance196873788388939810310811311812513013514014515015516053982328333843485358[[#This Row],[Frequency]]="Per Year",RentalAssistance196873788388939810310811311812513013514014515015516053982328333843485358[[#This Row],[Cost]]/12,RentalAssistance196873788388939810310811311812513013514014515015516053982328333843485358[[#This Row],[Frequency]]="Per month",RentalAssistance196873788388939810310811311812513013514014515015516053982328333843485358[[#This Row],[Cost]],RentalAssistance196873788388939810310811311812513013514014515015516053982328333843485358[[#This Row],[Frequency]]="Per day",RentalAssistance196873788388939810310811311812513013514014515015516053982328333843485358[[#This Row],[Cost]]*30,RentalAssistance196873788388939810310811311812513013514014515015516053982328333843485358[[#This Row],[Frequency]]="One-time",RentalAssistance196873788388939810310811311812513013514014515015516053982328333843485358[[#This Row],[Cost]]/SUM($C$18,$C$19))))</calculatedColumnFormula>
    </tableColumn>
    <tableColumn id="8" xr3:uid="{DCF64602-3FBD-4B69-A72C-9C4FE18A2D5F}" name="Annual Cost Per Unit" dataDxfId="77"/>
  </tableColumns>
  <tableStyleInfo name="TableStyleMedium18" showFirstColumn="0" showLastColumn="0" showRowStripes="0"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4C66A65F-0A46-4CF8-BEE6-CEAEC18B6021}" name="Services1106974798489949910410911411912613113614114615115616154992429343944495459" displayName="Services1106974798489949910410911411912613113614114615115616154992429343944495459" ref="A94:H112" totalsRowShown="0" headerRowDxfId="76" dataDxfId="75" tableBorderDxfId="74" headerRowCellStyle="Accent3">
  <autoFilter ref="A94:H112" xr:uid="{4C66A65F-0A46-4CF8-BEE6-CEAEC18B6021}"/>
  <tableColumns count="8">
    <tableColumn id="7" xr3:uid="{5ACCD7C3-47AF-4C63-8BAC-431058401FAF}" name="Item" dataDxfId="73" dataCellStyle="60% - Accent3"/>
    <tableColumn id="1" xr3:uid="{D3854AB5-63C9-41D9-91D8-C4975AC252AD}" name="Notes" dataDxfId="72" dataCellStyle="60% - Accent3"/>
    <tableColumn id="2" xr3:uid="{D6FC1BD6-C66B-4BFB-B733-DBAC64C80638}" name="Duration" dataDxfId="71" dataCellStyle="Currency"/>
    <tableColumn id="3" xr3:uid="{4F0216B9-5F6C-4544-A68D-AEAAF6CFE72D}" name="Cost" dataDxfId="70" dataCellStyle="Currency"/>
    <tableColumn id="4" xr3:uid="{2997A4D8-911E-439E-ADD5-EF86D1F63776}" name="Frequency" dataDxfId="69"/>
    <tableColumn id="5" xr3:uid="{E3F7BE80-4F30-4DB6-B620-8DFBBCADEE62}" name="Unit" dataDxfId="68"/>
    <tableColumn id="6" xr3:uid="{F9B4B312-69B4-41C1-B6D7-D210DEA7501C}" name="Monthly Cost Per Unit" dataDxfId="67">
      <calculatedColumnFormula array="1">_xlfn.IFS(Services1106974798489949910410911411912613113614114615115616154992429343944495459[[#This Row],[Unit]]="Program-wide",((_xlfn.IFS(Services1106974798489949910410911411912613113614114615115616154992429343944495459[[#This Row],[Frequency]]="Per Year",Services1106974798489949910410911411912613113614114615115616154992429343944495459[[#This Row],[Cost]]/12,Services1106974798489949910410911411912613113614114615115616154992429343944495459[[#This Row],[Frequency]]="Per month",Services1106974798489949910410911411912613113614114615115616154992429343944495459[[#This Row],[Cost]],Services1106974798489949910410911411912613113614114615115616154992429343944495459[[#This Row],[Frequency]]="Per day",Services1106974798489949910410911411912613113614114615115616154992429343944495459[[#This Row],[Cost]]*30,Services1106974798489949910410911411912613113614114615115616154992429343944495459[[#This Row],[Frequency]]="One-time",Services1106974798489949910410911411912613113614114615115616154992429343944495459[[#This Row],[Cost]]/12))/$C$17),Services1106974798489949910410911411912613113614114615115616154992429343944495459[[#This Row],[Unit]]="Per unit/space/household",(_xlfn.IFS(Services1106974798489949910410911411912613113614114615115616154992429343944495459[[#This Row],[Frequency]]="Per Year",Services1106974798489949910410911411912613113614114615115616154992429343944495459[[#This Row],[Cost]]/12,Services1106974798489949910410911411912613113614114615115616154992429343944495459[[#This Row],[Frequency]]="Per month",Services1106974798489949910410911411912613113614114615115616154992429343944495459[[#This Row],[Cost]],Services1106974798489949910410911411912613113614114615115616154992429343944495459[[#This Row],[Frequency]]="Per day",Services1106974798489949910410911411912613113614114615115616154992429343944495459[[#This Row],[Cost]]*30,Services1106974798489949910410911411912613113614114615115616154992429343944495459[[#This Row],[Frequency]]="One-time",Services1106974798489949910410911411912613113614114615115616154992429343944495459[[#This Row],[Cost]]/SUM($C$18,$C$19))))</calculatedColumnFormula>
    </tableColumn>
    <tableColumn id="8" xr3:uid="{F4CA3A22-C21B-4FAD-9D48-94285FA3642C}" name="Annual Cost Per Unit" dataDxfId="66" dataCellStyle="Currency"/>
  </tableColumns>
  <tableStyleInfo name="TableStyleMedium18" showFirstColumn="0" showLastColumn="0" showRowStripes="0"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4E234D43-D487-4DB0-AA45-4F7A5311E1B8}" name="Other111707580859095100105110115120127132137142147152157162551002530354045505560" displayName="Other111707580859095100105110115120127132137142147152157162551002530354045505560" ref="A116:H126" totalsRowShown="0" headerRowDxfId="65" dataDxfId="64" tableBorderDxfId="63" headerRowCellStyle="Accent3">
  <autoFilter ref="A116:H126" xr:uid="{4E234D43-D487-4DB0-AA45-4F7A5311E1B8}"/>
  <tableColumns count="8">
    <tableColumn id="7" xr3:uid="{1290DDC3-E318-495F-8943-339C81E112D0}" name="Item" dataDxfId="62" dataCellStyle="60% - Accent3"/>
    <tableColumn id="1" xr3:uid="{7631C3F4-2AFA-4AA2-97ED-8350A06D43BC}" name="Notes" dataDxfId="61" dataCellStyle="60% - Accent3"/>
    <tableColumn id="2" xr3:uid="{AF80380A-6CD4-483A-90F2-E62F9601E3CA}" name="Duration" dataDxfId="60" dataCellStyle="Currency"/>
    <tableColumn id="3" xr3:uid="{93328FD6-7AE0-4534-BB4B-741B082B2689}" name="Cost" dataDxfId="59" dataCellStyle="Currency"/>
    <tableColumn id="4" xr3:uid="{B98CD19E-B6A8-4F7B-B323-394EB935951A}" name="Frequency" dataDxfId="58"/>
    <tableColumn id="5" xr3:uid="{0178E650-9B53-4FA0-8840-9208A462F45B}" name="Unit" dataDxfId="57"/>
    <tableColumn id="6" xr3:uid="{7F948D78-7297-4EBF-8A22-ED2B922FA3DD}" name="Monthly Cost Per Unit" dataDxfId="56">
      <calculatedColumnFormula array="1">_xlfn.IFS(Other111707580859095100105110115120127132137142147152157162551002530354045505560[[#This Row],[Unit]]="Program-wide",((_xlfn.IFS(Other111707580859095100105110115120127132137142147152157162551002530354045505560[[#This Row],[Frequency]]="Per Year",Other111707580859095100105110115120127132137142147152157162551002530354045505560[[#This Row],[Cost]]/12,Other111707580859095100105110115120127132137142147152157162551002530354045505560[[#This Row],[Frequency]]="Per month",Other111707580859095100105110115120127132137142147152157162551002530354045505560[[#This Row],[Cost]],Other111707580859095100105110115120127132137142147152157162551002530354045505560[[#This Row],[Frequency]]="Per day",Other111707580859095100105110115120127132137142147152157162551002530354045505560[[#This Row],[Cost]]*30,Other111707580859095100105110115120127132137142147152157162551002530354045505560[[#This Row],[Frequency]]="One-time",Other111707580859095100105110115120127132137142147152157162551002530354045505560[[#This Row],[Cost]]/12))/$C$17),Other111707580859095100105110115120127132137142147152157162551002530354045505560[[#This Row],[Unit]]="Per unit/space/household",(_xlfn.IFS(Other111707580859095100105110115120127132137142147152157162551002530354045505560[[#This Row],[Frequency]]="Per Year",Other111707580859095100105110115120127132137142147152157162551002530354045505560[[#This Row],[Cost]]/12,Other111707580859095100105110115120127132137142147152157162551002530354045505560[[#This Row],[Frequency]]="Per month",Other111707580859095100105110115120127132137142147152157162551002530354045505560[[#This Row],[Cost]],Other111707580859095100105110115120127132137142147152157162551002530354045505560[[#This Row],[Frequency]]="Per day",Other111707580859095100105110115120127132137142147152157162551002530354045505560[[#This Row],[Cost]]*30,Other111707580859095100105110115120127132137142147152157162551002530354045505560[[#This Row],[Frequency]]="One-time",Other111707580859095100105110115120127132137142147152157162551002530354045505560[[#This Row],[Cost]]/SUM($C$18,$C$19))))</calculatedColumnFormula>
    </tableColumn>
    <tableColumn id="8" xr3:uid="{20A3E526-D726-4B4F-9B86-8EA8B27F52B9}" name="Annual Cost Per Unit" dataDxfId="55"/>
  </tableColumns>
  <tableStyleInfo name="TableStyleMedium18" showFirstColumn="0" showLastColumn="0" showRowStripes="0"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85998B1F-9DA5-4593-B9BE-A89AEC3C80B6}" name="Administrative17667176818691961011061111161231281331381431481531585196212631364146515661" displayName="Administrative17667176818691961011061111161231281331381431481531585196212631364146515661" ref="A26:H36" totalsRowShown="0" headerRowDxfId="54" dataDxfId="53" tableBorderDxfId="52" headerRowCellStyle="Accent3">
  <autoFilter ref="A26:H36" xr:uid="{85998B1F-9DA5-4593-B9BE-A89AEC3C80B6}"/>
  <tableColumns count="8">
    <tableColumn id="7" xr3:uid="{B2815886-F27A-4870-90CD-C7EE180B13AD}" name="Item" dataDxfId="51" dataCellStyle="60% - Accent3"/>
    <tableColumn id="1" xr3:uid="{B2E35EBE-1075-4BD7-808B-80F00B674B84}" name="Notes" dataDxfId="50" dataCellStyle="60% - Accent3"/>
    <tableColumn id="2" xr3:uid="{DF451DDD-7BED-45F6-A883-5215461DCB79}" name="Duration" dataDxfId="49" dataCellStyle="Currency"/>
    <tableColumn id="3" xr3:uid="{5D638FED-CD01-4B52-B4CF-EF946E22A9A6}" name="Cost" dataDxfId="48" dataCellStyle="Currency"/>
    <tableColumn id="4" xr3:uid="{BF82A582-5474-4304-87A9-A186428112FA}" name="Frequency" dataDxfId="47"/>
    <tableColumn id="5" xr3:uid="{DB28F9E4-6E76-41DF-85AC-A0E61974D121}" name="Unit" dataDxfId="46"/>
    <tableColumn id="6" xr3:uid="{5952005B-748A-438A-AB14-DED7CE02560C}" name="Monthly Cost Per Unit" dataDxfId="45">
      <calculatedColumnFormula array="1">_xlfn.IFS(Administrative17667176818691961011061111161231281331381431481531585196212631364146515661[[#This Row],[Unit]]="Program-wide",((_xlfn.IFS(Administrative17667176818691961011061111161231281331381431481531585196212631364146515661[[#This Row],[Frequency]]="Per Year",Administrative17667176818691961011061111161231281331381431481531585196212631364146515661[[#This Row],[Cost]]/12,Administrative17667176818691961011061111161231281331381431481531585196212631364146515661[[#This Row],[Frequency]]="Per month",Administrative17667176818691961011061111161231281331381431481531585196212631364146515661[[#This Row],[Cost]],Administrative17667176818691961011061111161231281331381431481531585196212631364146515661[[#This Row],[Frequency]]="Per day",Administrative17667176818691961011061111161231281331381431481531585196212631364146515661[[#This Row],[Cost]]*30,Administrative17667176818691961011061111161231281331381431481531585196212631364146515661[[#This Row],[Frequency]]="One-time",Administrative17667176818691961011061111161231281331381431481531585196212631364146515661[[#This Row],[Cost]]/12))/$C$17),Administrative17667176818691961011061111161231281331381431481531585196212631364146515661[[#This Row],[Unit]]="Per unit/space/household",(_xlfn.IFS(Administrative17667176818691961011061111161231281331381431481531585196212631364146515661[[#This Row],[Frequency]]="Per Year",Administrative17667176818691961011061111161231281331381431481531585196212631364146515661[[#This Row],[Cost]]/12,Administrative17667176818691961011061111161231281331381431481531585196212631364146515661[[#This Row],[Frequency]]="Per month",Administrative17667176818691961011061111161231281331381431481531585196212631364146515661[[#This Row],[Cost]],Administrative17667176818691961011061111161231281331381431481531585196212631364146515661[[#This Row],[Frequency]]="Per day",Administrative17667176818691961011061111161231281331381431481531585196212631364146515661[[#This Row],[Cost]]*30,Administrative17667176818691961011061111161231281331381431481531585196212631364146515661[[#This Row],[Frequency]]="One-time",Administrative17667176818691961011061111161231281331381431481531585196212631364146515661[[#This Row],[Cost]]/SUM($C$18,$C$19))))</calculatedColumnFormula>
    </tableColumn>
    <tableColumn id="8" xr3:uid="{9015623F-D3BB-427C-BE87-FE744ADF8B06}" name="Annual Cost Per Unit" dataDxfId="44"/>
  </tableColumns>
  <tableStyleInfo name="TableStyleMedium18" showFirstColumn="0" showLastColumn="0" showRowStripes="0"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9938C5BA-C7C0-4472-8001-DC5F21A58570}" name="Operations18677277828792971021071121171241291341391441491541595297222732374247525762" displayName="Operations18677277828792971021071121171241291341391441491541595297222732374247525762" ref="A40:H57" totalsRowShown="0" headerRowDxfId="43" dataDxfId="42" tableBorderDxfId="41" headerRowCellStyle="Accent3">
  <autoFilter ref="A40:H57" xr:uid="{9938C5BA-C7C0-4472-8001-DC5F21A58570}"/>
  <tableColumns count="8">
    <tableColumn id="7" xr3:uid="{8F392FE5-060C-4058-8EE8-FE1D59516385}" name="Item" dataDxfId="40" dataCellStyle="60% - Accent3"/>
    <tableColumn id="1" xr3:uid="{C05C80B7-59DC-4DCC-B211-FE46F6E3A9FB}" name="Notes" dataDxfId="39" dataCellStyle="60% - Accent3"/>
    <tableColumn id="2" xr3:uid="{4077BC89-1E1B-4514-9811-F59DE3206832}" name="Duration" dataDxfId="38" dataCellStyle="Currency"/>
    <tableColumn id="3" xr3:uid="{B4D02C95-09E4-4200-A710-EBAA2AE54C66}" name="Cost" dataDxfId="37" dataCellStyle="Currency"/>
    <tableColumn id="4" xr3:uid="{0CC30658-94CA-445E-8C11-F35FC5176744}" name="Frequency" dataDxfId="36"/>
    <tableColumn id="5" xr3:uid="{9478FA2A-1E5C-42CC-97CE-BD568E0C5467}" name="Unit" dataDxfId="35"/>
    <tableColumn id="6" xr3:uid="{13B9E31A-195E-42BF-9EA0-81A4ECCB7EC8}" name="Monthly Cost Per Unit" dataDxfId="34">
      <calculatedColumnFormula array="1">_xlfn.IFS(Operations18677277828792971021071121171241291341391441491541595297222732374247525762[[#This Row],[Unit]]="Program-wide",((_xlfn.IFS(Operations18677277828792971021071121171241291341391441491541595297222732374247525762[[#This Row],[Frequency]]="Per Year",Operations18677277828792971021071121171241291341391441491541595297222732374247525762[[#This Row],[Cost]]/12,Operations18677277828792971021071121171241291341391441491541595297222732374247525762[[#This Row],[Frequency]]="Per month",Operations18677277828792971021071121171241291341391441491541595297222732374247525762[[#This Row],[Cost]],Operations18677277828792971021071121171241291341391441491541595297222732374247525762[[#This Row],[Frequency]]="Per day",Operations18677277828792971021071121171241291341391441491541595297222732374247525762[[#This Row],[Cost]]*30,Operations18677277828792971021071121171241291341391441491541595297222732374247525762[[#This Row],[Frequency]]="One-time",Operations18677277828792971021071121171241291341391441491541595297222732374247525762[[#This Row],[Cost]]/12))/$C$17),Operations18677277828792971021071121171241291341391441491541595297222732374247525762[[#This Row],[Unit]]="Per unit/space/household",(_xlfn.IFS(Operations18677277828792971021071121171241291341391441491541595297222732374247525762[[#This Row],[Frequency]]="Per Year",Operations18677277828792971021071121171241291341391441491541595297222732374247525762[[#This Row],[Cost]]/12,Operations18677277828792971021071121171241291341391441491541595297222732374247525762[[#This Row],[Frequency]]="Per month",Operations18677277828792971021071121171241291341391441491541595297222732374247525762[[#This Row],[Cost]],Operations18677277828792971021071121171241291341391441491541595297222732374247525762[[#This Row],[Frequency]]="Per day",Operations18677277828792971021071121171241291341391441491541595297222732374247525762[[#This Row],[Cost]]*30,Operations18677277828792971021071121171241291341391441491541595297222732374247525762[[#This Row],[Frequency]]="One-time",Operations18677277828792971021071121171241291341391441491541595297222732374247525762[[#This Row],[Cost]]/SUM($C$18,$C$19))))</calculatedColumnFormula>
    </tableColumn>
    <tableColumn id="8" xr3:uid="{847AADE3-81C4-48EC-9D9B-2101064F54B0}" name="Annual Cost Per Unit" dataDxfId="33"/>
  </tableColumns>
  <tableStyleInfo name="TableStyleMedium18" showFirstColumn="0" showLastColumn="0" showRowStripes="0"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9A721F4C-5D1D-405E-ACFE-CF61EBB8BB58}" name="RentalAssistance19687378838893981031081131181251301351401451501551605398232833384348535863" displayName="RentalAssistance19687378838893981031081131181251301351401451501551605398232833384348535863" ref="A76:H90" totalsRowShown="0" headerRowDxfId="32" dataDxfId="31" tableBorderDxfId="30" headerRowCellStyle="Accent3">
  <autoFilter ref="A76:H90" xr:uid="{9A721F4C-5D1D-405E-ACFE-CF61EBB8BB58}"/>
  <tableColumns count="8">
    <tableColumn id="7" xr3:uid="{086CCC48-6485-42F1-B1A8-23B7B7B7897B}" name="Item" dataDxfId="29" dataCellStyle="60% - Accent3"/>
    <tableColumn id="1" xr3:uid="{9CB2BBF3-4419-4E9E-8A64-9E3A5FB46C07}" name="Notes" dataDxfId="28" dataCellStyle="60% - Accent3"/>
    <tableColumn id="2" xr3:uid="{042362C3-ED15-40F0-A0CF-22A07AEEFD8D}" name="Duration" dataDxfId="27" dataCellStyle="Currency"/>
    <tableColumn id="3" xr3:uid="{DF81F015-35AB-4AB6-9866-BE110E67EC0B}" name="Cost" dataDxfId="26" dataCellStyle="Currency"/>
    <tableColumn id="4" xr3:uid="{F323959D-D75B-4888-81D5-B558DDD9BF9B}" name="Frequency" dataDxfId="25"/>
    <tableColumn id="5" xr3:uid="{DCA2B7C0-4867-402F-BBDB-4F4894DED024}" name="Unit" dataDxfId="24"/>
    <tableColumn id="6" xr3:uid="{2CF6086B-5876-4159-81DB-9DC4EE01123C}" name="Monthly Cost Per Unit" dataDxfId="23">
      <calculatedColumnFormula array="1">_xlfn.IFS(RentalAssistance19687378838893981031081131181251301351401451501551605398232833384348535863[[#This Row],[Unit]]="Program-wide",((_xlfn.IFS(RentalAssistance19687378838893981031081131181251301351401451501551605398232833384348535863[[#This Row],[Frequency]]="Per Year",RentalAssistance19687378838893981031081131181251301351401451501551605398232833384348535863[[#This Row],[Cost]]/12,RentalAssistance19687378838893981031081131181251301351401451501551605398232833384348535863[[#This Row],[Frequency]]="Per month",RentalAssistance19687378838893981031081131181251301351401451501551605398232833384348535863[[#This Row],[Cost]],RentalAssistance19687378838893981031081131181251301351401451501551605398232833384348535863[[#This Row],[Frequency]]="Per day",RentalAssistance19687378838893981031081131181251301351401451501551605398232833384348535863[[#This Row],[Cost]]*30,RentalAssistance19687378838893981031081131181251301351401451501551605398232833384348535863[[#This Row],[Frequency]]="One-time",RentalAssistance19687378838893981031081131181251301351401451501551605398232833384348535863[[#This Row],[Cost]]/12))/$C$17),RentalAssistance19687378838893981031081131181251301351401451501551605398232833384348535863[[#This Row],[Unit]]="Per unit/space/household",(_xlfn.IFS(RentalAssistance19687378838893981031081131181251301351401451501551605398232833384348535863[[#This Row],[Frequency]]="Per Year",RentalAssistance19687378838893981031081131181251301351401451501551605398232833384348535863[[#This Row],[Cost]]/12,RentalAssistance19687378838893981031081131181251301351401451501551605398232833384348535863[[#This Row],[Frequency]]="Per month",RentalAssistance19687378838893981031081131181251301351401451501551605398232833384348535863[[#This Row],[Cost]],RentalAssistance19687378838893981031081131181251301351401451501551605398232833384348535863[[#This Row],[Frequency]]="Per day",RentalAssistance19687378838893981031081131181251301351401451501551605398232833384348535863[[#This Row],[Cost]]*30,RentalAssistance19687378838893981031081131181251301351401451501551605398232833384348535863[[#This Row],[Frequency]]="One-time",RentalAssistance19687378838893981031081131181251301351401451501551605398232833384348535863[[#This Row],[Cost]]/SUM($C$18,$C$19))))</calculatedColumnFormula>
    </tableColumn>
    <tableColumn id="8" xr3:uid="{52370501-178C-4B1F-A367-C5CB5D7E61E9}" name="Annual Cost Per Unit" dataDxfId="22"/>
  </tableColumns>
  <tableStyleInfo name="TableStyleMedium18"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6B47DE6-C886-4709-AE4A-680ADA548040}" name="RentalAssistance19" displayName="RentalAssistance19" ref="A76:H90" totalsRowShown="0" headerRowDxfId="618" tableBorderDxfId="617" headerRowCellStyle="Accent3">
  <autoFilter ref="A76:H90" xr:uid="{96B47DE6-C886-4709-AE4A-680ADA548040}"/>
  <tableColumns count="8">
    <tableColumn id="7" xr3:uid="{B4188E2C-1374-4743-91D0-985A62EBEA94}" name="Item" dataDxfId="616" dataCellStyle="60% - Accent3"/>
    <tableColumn id="1" xr3:uid="{AD9C65AC-7F7A-45F4-9A13-3F06A85D7696}" name="Notes" dataDxfId="615" dataCellStyle="60% - Accent3"/>
    <tableColumn id="2" xr3:uid="{DFCC7394-BAEB-416F-9C39-1DAD8A6BB270}" name="Duration" dataDxfId="614" dataCellStyle="Currency"/>
    <tableColumn id="3" xr3:uid="{6F66E83E-9F60-4892-858E-0755CF525CDF}" name="Cost" dataDxfId="613" dataCellStyle="Currency"/>
    <tableColumn id="4" xr3:uid="{7EA325F1-0718-4B8C-87B3-8A9815D725C5}" name="Frequency"/>
    <tableColumn id="5" xr3:uid="{3ACDD8F4-4F02-40E4-B0FA-3F75C031992D}" name="Unit"/>
    <tableColumn id="6" xr3:uid="{294F7434-0B5C-432A-8901-627720E30350}" name="Monthly Cost Per Unit" dataDxfId="612">
      <calculatedColumnFormula array="1">_xlfn.IFS(RentalAssistance19[[#This Row],[Unit]]="Program-wide",((_xlfn.IFS(RentalAssistance19[[#This Row],[Frequency]]="Per Year",RentalAssistance19[[#This Row],[Cost]]/12,RentalAssistance19[[#This Row],[Frequency]]="Per month",RentalAssistance19[[#This Row],[Cost]],RentalAssistance19[[#This Row],[Frequency]]="Per day",RentalAssistance19[[#This Row],[Cost]]*30,RentalAssistance19[[#This Row],[Frequency]]="One-time",RentalAssistance19[[#This Row],[Cost]]/12))/$C$17),RentalAssistance19[[#This Row],[Unit]]="Per unit/space/household",(_xlfn.IFS(RentalAssistance19[[#This Row],[Frequency]]="Per Year",RentalAssistance19[[#This Row],[Cost]]/12,RentalAssistance19[[#This Row],[Frequency]]="Per month",RentalAssistance19[[#This Row],[Cost]],RentalAssistance19[[#This Row],[Frequency]]="Per day",RentalAssistance19[[#This Row],[Cost]]*30,RentalAssistance19[[#This Row],[Frequency]]="One-time",RentalAssistance19[[#This Row],[Cost]]/SUM($C$18,$C$19))))</calculatedColumnFormula>
    </tableColumn>
    <tableColumn id="8" xr3:uid="{B078E903-40EA-49D3-8287-4228B5368AC9}" name="Annual Cost Per Unit" dataDxfId="611"/>
  </tableColumns>
  <tableStyleInfo name="TableStyleMedium18" showFirstColumn="0" showLastColumn="0" showRowStripes="0"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C787D07A-577F-4411-A7F7-D0F54CC0EB98}" name="Services110697479848994991041091141191261311361411461511561615499242934394449545964" displayName="Services110697479848994991041091141191261311361411461511561615499242934394449545964" ref="A94:H112" totalsRowShown="0" headerRowDxfId="21" dataDxfId="20" tableBorderDxfId="19" headerRowCellStyle="Accent3">
  <autoFilter ref="A94:H112" xr:uid="{C787D07A-577F-4411-A7F7-D0F54CC0EB98}"/>
  <tableColumns count="8">
    <tableColumn id="7" xr3:uid="{09793DFA-8EF7-483E-B3A3-3926AD186DC3}" name="Item" dataDxfId="18" dataCellStyle="60% - Accent3"/>
    <tableColumn id="1" xr3:uid="{988E8121-9D6F-4F83-9CD2-B943C355EAB6}" name="Notes" dataDxfId="17" dataCellStyle="60% - Accent3"/>
    <tableColumn id="2" xr3:uid="{69E5FC5F-9A04-4589-8F3C-B4D1890F0EB3}" name="Duration" dataDxfId="16" dataCellStyle="Currency"/>
    <tableColumn id="3" xr3:uid="{2CEBFF38-B01B-4A45-B407-EC8CD8698688}" name="Cost" dataDxfId="15" dataCellStyle="Currency"/>
    <tableColumn id="4" xr3:uid="{99D1159D-9CD9-4F0B-8724-E957243CFDF5}" name="Frequency" dataDxfId="14"/>
    <tableColumn id="5" xr3:uid="{90410E06-C8D6-44A3-8B53-C17D8416D8F4}" name="Unit" dataDxfId="13"/>
    <tableColumn id="6" xr3:uid="{7BC2BF31-EA7B-46B8-8BF4-8FEA8D9AA62D}" name="Monthly Cost Per Unit" dataDxfId="12">
      <calculatedColumnFormula array="1">_xlfn.IFS(Services110697479848994991041091141191261311361411461511561615499242934394449545964[[#This Row],[Unit]]="Program-wide",((_xlfn.IFS(Services110697479848994991041091141191261311361411461511561615499242934394449545964[[#This Row],[Frequency]]="Per Year",Services110697479848994991041091141191261311361411461511561615499242934394449545964[[#This Row],[Cost]]/12,Services110697479848994991041091141191261311361411461511561615499242934394449545964[[#This Row],[Frequency]]="Per month",Services110697479848994991041091141191261311361411461511561615499242934394449545964[[#This Row],[Cost]],Services110697479848994991041091141191261311361411461511561615499242934394449545964[[#This Row],[Frequency]]="Per day",Services110697479848994991041091141191261311361411461511561615499242934394449545964[[#This Row],[Cost]]*30,Services110697479848994991041091141191261311361411461511561615499242934394449545964[[#This Row],[Frequency]]="One-time",Services110697479848994991041091141191261311361411461511561615499242934394449545964[[#This Row],[Cost]]/12))/$C$17),Services110697479848994991041091141191261311361411461511561615499242934394449545964[[#This Row],[Unit]]="Per unit/space/household",(_xlfn.IFS(Services110697479848994991041091141191261311361411461511561615499242934394449545964[[#This Row],[Frequency]]="Per Year",Services110697479848994991041091141191261311361411461511561615499242934394449545964[[#This Row],[Cost]]/12,Services110697479848994991041091141191261311361411461511561615499242934394449545964[[#This Row],[Frequency]]="Per month",Services110697479848994991041091141191261311361411461511561615499242934394449545964[[#This Row],[Cost]],Services110697479848994991041091141191261311361411461511561615499242934394449545964[[#This Row],[Frequency]]="Per day",Services110697479848994991041091141191261311361411461511561615499242934394449545964[[#This Row],[Cost]]*30,Services110697479848994991041091141191261311361411461511561615499242934394449545964[[#This Row],[Frequency]]="One-time",Services110697479848994991041091141191261311361411461511561615499242934394449545964[[#This Row],[Cost]]/SUM($C$18,$C$19))))</calculatedColumnFormula>
    </tableColumn>
    <tableColumn id="8" xr3:uid="{EEE344E2-F760-483B-A3B6-CE243EFD681B}" name="Annual Cost Per Unit" dataDxfId="11" dataCellStyle="Currency"/>
  </tableColumns>
  <tableStyleInfo name="TableStyleMedium18" showFirstColumn="0" showLastColumn="0" showRowStripes="0"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4381EB5D-1132-497C-8E8F-E2783969E80F}" name="Other11170758085909510010511011512012713213714214715215716255100253035404550556065" displayName="Other11170758085909510010511011512012713213714214715215716255100253035404550556065" ref="A116:H126" totalsRowShown="0" headerRowDxfId="10" dataDxfId="9" tableBorderDxfId="8" headerRowCellStyle="Accent3">
  <autoFilter ref="A116:H126" xr:uid="{4381EB5D-1132-497C-8E8F-E2783969E80F}"/>
  <tableColumns count="8">
    <tableColumn id="7" xr3:uid="{AEF73780-5CC1-40B7-BFAB-674ED964D738}" name="Item" dataDxfId="7" dataCellStyle="60% - Accent3"/>
    <tableColumn id="1" xr3:uid="{DAFC7CF2-5C97-4ED0-8C42-FE83FF162127}" name="Notes" dataDxfId="6" dataCellStyle="60% - Accent3"/>
    <tableColumn id="2" xr3:uid="{5A0C2CC8-379E-44D0-A874-AB5EBC2E8B90}" name="Duration" dataDxfId="5" dataCellStyle="Currency"/>
    <tableColumn id="3" xr3:uid="{B61F7671-8946-4BF5-AD00-50989B290266}" name="Cost" dataDxfId="4" dataCellStyle="Currency"/>
    <tableColumn id="4" xr3:uid="{18F930FF-4A51-4876-8803-DADB69A26F81}" name="Frequency" dataDxfId="3"/>
    <tableColumn id="5" xr3:uid="{20C5D0A9-D352-48BB-8665-84985DDC23C0}" name="Unit" dataDxfId="2"/>
    <tableColumn id="6" xr3:uid="{535C1F0A-3E95-432C-ABE4-7FDFEF10B0FC}" name="Monthly Cost Per Unit" dataDxfId="1">
      <calculatedColumnFormula array="1">_xlfn.IFS(Other11170758085909510010511011512012713213714214715215716255100253035404550556065[[#This Row],[Unit]]="Program-wide",((_xlfn.IFS(Other11170758085909510010511011512012713213714214715215716255100253035404550556065[[#This Row],[Frequency]]="Per Year",Other11170758085909510010511011512012713213714214715215716255100253035404550556065[[#This Row],[Cost]]/12,Other11170758085909510010511011512012713213714214715215716255100253035404550556065[[#This Row],[Frequency]]="Per month",Other11170758085909510010511011512012713213714214715215716255100253035404550556065[[#This Row],[Cost]],Other11170758085909510010511011512012713213714214715215716255100253035404550556065[[#This Row],[Frequency]]="Per day",Other11170758085909510010511011512012713213714214715215716255100253035404550556065[[#This Row],[Cost]]*30,Other11170758085909510010511011512012713213714214715215716255100253035404550556065[[#This Row],[Frequency]]="One-time",Other11170758085909510010511011512012713213714214715215716255100253035404550556065[[#This Row],[Cost]]/12))/$C$17),Other11170758085909510010511011512012713213714214715215716255100253035404550556065[[#This Row],[Unit]]="Per unit/space/household",(_xlfn.IFS(Other11170758085909510010511011512012713213714214715215716255100253035404550556065[[#This Row],[Frequency]]="Per Year",Other11170758085909510010511011512012713213714214715215716255100253035404550556065[[#This Row],[Cost]]/12,Other11170758085909510010511011512012713213714214715215716255100253035404550556065[[#This Row],[Frequency]]="Per month",Other11170758085909510010511011512012713213714214715215716255100253035404550556065[[#This Row],[Cost]],Other11170758085909510010511011512012713213714214715215716255100253035404550556065[[#This Row],[Frequency]]="Per day",Other11170758085909510010511011512012713213714214715215716255100253035404550556065[[#This Row],[Cost]]*30,Other11170758085909510010511011512012713213714214715215716255100253035404550556065[[#This Row],[Frequency]]="One-time",Other11170758085909510010511011512012713213714214715215716255100253035404550556065[[#This Row],[Cost]]/SUM($C$18,$C$19))))</calculatedColumnFormula>
    </tableColumn>
    <tableColumn id="8" xr3:uid="{01F12CE9-6D32-4A76-A5BD-5B8B1927FE2E}" name="Annual Cost Per Unit" dataDxfId="0"/>
  </tableColumns>
  <tableStyleInfo name="TableStyleMedium18"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8891F9C-D408-4CA4-B48C-3D9070F8DF19}" name="Services110" displayName="Services110" ref="A94:H112" totalsRowShown="0" headerRowDxfId="610" tableBorderDxfId="609" headerRowCellStyle="Accent3">
  <autoFilter ref="A94:H112" xr:uid="{A8891F9C-D408-4CA4-B48C-3D9070F8DF19}"/>
  <tableColumns count="8">
    <tableColumn id="7" xr3:uid="{A8B58122-4C95-4965-9B4C-D0F14D2AAC8B}" name="Item" dataDxfId="608" dataCellStyle="60% - Accent3"/>
    <tableColumn id="1" xr3:uid="{BDC0DAFA-39A6-4332-8429-A058CBB068BB}" name="Notes" dataDxfId="607" dataCellStyle="60% - Accent3"/>
    <tableColumn id="2" xr3:uid="{89CF6532-ABD3-496C-AFFF-D059AF73BF71}" name="Duration" dataDxfId="606" dataCellStyle="Currency"/>
    <tableColumn id="3" xr3:uid="{6B5E3931-5D38-4A0C-99E3-DF7573B88625}" name="Cost" dataDxfId="605" dataCellStyle="Currency"/>
    <tableColumn id="4" xr3:uid="{28212BC6-644F-4240-BA89-7418AB1B451B}" name="Frequency"/>
    <tableColumn id="5" xr3:uid="{3663488C-D761-472A-B036-DB03D25E39B0}" name="Unit"/>
    <tableColumn id="6" xr3:uid="{E5BD490F-C8CF-4DF6-907D-6FD57F102A63}" name="Monthly Cost Per Unit" dataDxfId="604">
      <calculatedColumnFormula array="1">_xlfn.IFS(Services110[[#This Row],[Unit]]="Program-wide",((_xlfn.IFS(Services110[[#This Row],[Frequency]]="Per Year",Services110[[#This Row],[Cost]]/12,Services110[[#This Row],[Frequency]]="Per month",Services110[[#This Row],[Cost]],Services110[[#This Row],[Frequency]]="Per day",Services110[[#This Row],[Cost]]*30,Services110[[#This Row],[Frequency]]="One-time",Services110[[#This Row],[Cost]]/12))/$C$17),Services110[[#This Row],[Unit]]="Per unit/space/household",(_xlfn.IFS(Services110[[#This Row],[Frequency]]="Per Year",Services110[[#This Row],[Cost]]/12,Services110[[#This Row],[Frequency]]="Per month",Services110[[#This Row],[Cost]],Services110[[#This Row],[Frequency]]="Per day",Services110[[#This Row],[Cost]]*30,Services110[[#This Row],[Frequency]]="One-time",Services110[[#This Row],[Cost]]/SUM($C$18,$C$19))))</calculatedColumnFormula>
    </tableColumn>
    <tableColumn id="8" xr3:uid="{451D12B6-05C6-4EE3-8A36-F4CF9FC9A640}" name="Annual Cost Per Unit" dataDxfId="603" dataCellStyle="Currency"/>
  </tableColumns>
  <tableStyleInfo name="TableStyleMedium18"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EC58CB7D-9839-4C6F-B44B-EEC316BCCCEE}" name="Other111" displayName="Other111" ref="A116:H126" totalsRowShown="0" headerRowDxfId="602" tableBorderDxfId="601" headerRowCellStyle="Accent3">
  <autoFilter ref="A116:H126" xr:uid="{EC58CB7D-9839-4C6F-B44B-EEC316BCCCEE}"/>
  <tableColumns count="8">
    <tableColumn id="7" xr3:uid="{51F0D601-86EA-4BDD-8C6C-C2C764B35469}" name="Item" dataDxfId="600" dataCellStyle="60% - Accent3"/>
    <tableColumn id="1" xr3:uid="{592D5F52-2394-45C5-AD06-8EFD512E2E2E}" name="Notes" dataDxfId="599" dataCellStyle="60% - Accent3"/>
    <tableColumn id="2" xr3:uid="{E62F505D-8A6C-4526-9B31-6360B3954127}" name="Duration" dataDxfId="598" dataCellStyle="Currency"/>
    <tableColumn id="3" xr3:uid="{DF174663-0BFB-418D-840D-8DED7C32A0A0}" name="Cost" dataDxfId="597" dataCellStyle="Currency"/>
    <tableColumn id="4" xr3:uid="{A934A384-0F5B-4E6B-99DC-57799F1B7F4A}" name="Frequency"/>
    <tableColumn id="5" xr3:uid="{B1098323-38D2-4FEA-934A-8DFA7F913573}" name="Unit"/>
    <tableColumn id="6" xr3:uid="{C00BB677-7C71-4360-8C84-C0471EEAEDC8}" name="Monthly Cost Per Unit" dataDxfId="596">
      <calculatedColumnFormula array="1">_xlfn.IFS(Other111[[#This Row],[Unit]]="Program-wide",((_xlfn.IFS(Other111[[#This Row],[Frequency]]="Per Year",Other111[[#This Row],[Cost]]/12,Other111[[#This Row],[Frequency]]="Per month",Other111[[#This Row],[Cost]],Other111[[#This Row],[Frequency]]="Per day",Other111[[#This Row],[Cost]]*30,Other111[[#This Row],[Frequency]]="One-time",Other111[[#This Row],[Cost]]/12))/$C$17),Other111[[#This Row],[Unit]]="Per unit/space/household",(_xlfn.IFS(Other111[[#This Row],[Frequency]]="Per Year",Other111[[#This Row],[Cost]]/12,Other111[[#This Row],[Frequency]]="Per month",Other111[[#This Row],[Cost]],Other111[[#This Row],[Frequency]]="Per day",Other111[[#This Row],[Cost]]*30,Other111[[#This Row],[Frequency]]="One-time",Other111[[#This Row],[Cost]]/SUM($C$18,$C$19))))</calculatedColumnFormula>
    </tableColumn>
    <tableColumn id="8" xr3:uid="{930DFF53-4F37-4CD7-8075-61604926A9C1}" name="Annual Cost Per Unit" dataDxfId="595"/>
  </tableColumns>
  <tableStyleInfo name="TableStyleMedium18"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8BFA893-BD2A-40B4-A368-2225B835B03C}" name="Table62339401071091214" displayName="Table62339401071091214" ref="A23:H34" totalsRowCount="1" headerRowDxfId="594" dataDxfId="593" totalsRowDxfId="592" totalsRowBorderDxfId="591">
  <autoFilter ref="A23:H33" xr:uid="{08BFA893-BD2A-40B4-A368-2225B835B03C}"/>
  <tableColumns count="8">
    <tableColumn id="1" xr3:uid="{8CA6BA5E-2E70-4DA8-9403-7B75843679B6}" name="Project Type" totalsRowLabel="Average" dataDxfId="590" totalsRowDxfId="589"/>
    <tableColumn id="7" xr3:uid="{E3C37FAB-CB65-4F0D-84C6-60FF3A3DB42A}" name="Project Name" dataDxfId="588" totalsRowDxfId="587">
      <calculatedColumnFormula>'Project 1'!C10</calculatedColumnFormula>
    </tableColumn>
    <tableColumn id="3" xr3:uid="{67AD8E96-D7EF-4053-8EEF-D21020E26740}" name="Annual Administrative Cost Per Unit" totalsRowFunction="average" dataDxfId="586" totalsRowDxfId="585">
      <calculatedColumnFormula>'Project 1'!#REF!</calculatedColumnFormula>
    </tableColumn>
    <tableColumn id="4" xr3:uid="{B780CC46-DA32-4EA3-996D-B04FEEC2AE01}" name="Annual Operations Cost Per Unit" totalsRowFunction="average" dataDxfId="584" totalsRowDxfId="583"/>
    <tableColumn id="5" xr3:uid="{A6E1D67D-874E-4707-B513-FCBA463338C4}" name="Annual Rental Assistance or Leasing Cost Per Unit" totalsRowFunction="average" dataDxfId="582" totalsRowDxfId="581"/>
    <tableColumn id="6" xr3:uid="{63EE5821-679D-41A2-A926-71680452B536}" name="Annual Services Cost Per Unit" totalsRowFunction="average" dataDxfId="580" totalsRowDxfId="579"/>
    <tableColumn id="8" xr3:uid="{667825DF-C9E8-40F0-AF0E-05A49F93BD38}" name="Annual Other Costs Per Unit" totalsRowFunction="average" dataDxfId="578" totalsRowDxfId="577"/>
    <tableColumn id="2" xr3:uid="{3C475AA4-B34A-4D4B-8174-60890AC0CD20}" name="Annual Cost Per Unit" totalsRowFunction="average" dataDxfId="576" totalsRowDxfId="575">
      <calculatedColumnFormula>SUM(Table62339401071091214[[#This Row],[Annual Administrative Cost Per Unit]:[Annual Other Costs Per Unit]])</calculatedColumnFormula>
    </tableColumn>
  </tableColumns>
  <tableStyleInfo name="Table Style 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mcas-proxyweb.mcas.ms/certificate-checker?login=false&amp;originalUrl=https%3A%2F%2Fwww.hudexchange.info.mcas.ms%2Fprograms%2Fcoc%2Fcoc-program-eligibility-requirements%2F%3FMcasTsid%3D20892&amp;McasCSRF=5d6c314414a9f78f221c7af18135a5eecca7e5cff765af0fffc736dde66d1848" TargetMode="External"/><Relationship Id="rId2" Type="http://schemas.openxmlformats.org/officeDocument/2006/relationships/hyperlink" Target="https://files.hudexchange.info/resources/documents/System-Modeling-Project-Type-Matrix.pdf" TargetMode="External"/><Relationship Id="rId1" Type="http://schemas.openxmlformats.org/officeDocument/2006/relationships/hyperlink" Target="https://files.hudexchange.info/resources/documents/System-Modeling-Assumptions-Guide.pdf?" TargetMode="External"/><Relationship Id="rId6" Type="http://schemas.openxmlformats.org/officeDocument/2006/relationships/hyperlink" Target="https://files.hudexchange.info/resources/documents/System-Modeling-with-Stella-M-User-Guide.pdf" TargetMode="External"/><Relationship Id="rId5" Type="http://schemas.openxmlformats.org/officeDocument/2006/relationships/hyperlink" Target="https://files.hudexchange.info/resources/documents/System-Modeling-Project-Type-Matrix.pdf" TargetMode="External"/><Relationship Id="rId4" Type="http://schemas.openxmlformats.org/officeDocument/2006/relationships/hyperlink" Target="https://mcas-proxyweb.mcas.ms/certificate-checker?login=false&amp;originalUrl=https%3A%2F%2Fwww.hudexchange.info.mcas.ms%2Fresource%2F6109%2Fcovid19-homeless-system-response-case-management-ratios%2F%3FMcasTsid%3D20892&amp;McasCSRF=5d6c314414a9f78f221c7af18135a5eecca7e5cff765af0fffc736dde66d1848" TargetMode="External"/></Relationships>
</file>

<file path=xl/worksheets/_rels/sheet10.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table" Target="../tables/table32.xml"/><Relationship Id="rId1" Type="http://schemas.openxmlformats.org/officeDocument/2006/relationships/printerSettings" Target="../printerSettings/printerSettings8.bin"/><Relationship Id="rId6" Type="http://schemas.openxmlformats.org/officeDocument/2006/relationships/table" Target="../tables/table36.xml"/><Relationship Id="rId5" Type="http://schemas.openxmlformats.org/officeDocument/2006/relationships/table" Target="../tables/table35.xml"/><Relationship Id="rId4" Type="http://schemas.openxmlformats.org/officeDocument/2006/relationships/table" Target="../tables/table34.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38.xml"/><Relationship Id="rId2" Type="http://schemas.openxmlformats.org/officeDocument/2006/relationships/table" Target="../tables/table37.xml"/><Relationship Id="rId1" Type="http://schemas.openxmlformats.org/officeDocument/2006/relationships/printerSettings" Target="../printerSettings/printerSettings9.bin"/><Relationship Id="rId6" Type="http://schemas.openxmlformats.org/officeDocument/2006/relationships/table" Target="../tables/table41.xml"/><Relationship Id="rId5" Type="http://schemas.openxmlformats.org/officeDocument/2006/relationships/table" Target="../tables/table40.xml"/><Relationship Id="rId4" Type="http://schemas.openxmlformats.org/officeDocument/2006/relationships/table" Target="../tables/table39.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43.xml"/><Relationship Id="rId2" Type="http://schemas.openxmlformats.org/officeDocument/2006/relationships/table" Target="../tables/table42.xml"/><Relationship Id="rId1" Type="http://schemas.openxmlformats.org/officeDocument/2006/relationships/printerSettings" Target="../printerSettings/printerSettings10.bin"/><Relationship Id="rId6" Type="http://schemas.openxmlformats.org/officeDocument/2006/relationships/table" Target="../tables/table46.xml"/><Relationship Id="rId5" Type="http://schemas.openxmlformats.org/officeDocument/2006/relationships/table" Target="../tables/table45.xml"/><Relationship Id="rId4" Type="http://schemas.openxmlformats.org/officeDocument/2006/relationships/table" Target="../tables/table44.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48.xml"/><Relationship Id="rId2" Type="http://schemas.openxmlformats.org/officeDocument/2006/relationships/table" Target="../tables/table47.xml"/><Relationship Id="rId1" Type="http://schemas.openxmlformats.org/officeDocument/2006/relationships/printerSettings" Target="../printerSettings/printerSettings11.bin"/><Relationship Id="rId6" Type="http://schemas.openxmlformats.org/officeDocument/2006/relationships/table" Target="../tables/table51.xml"/><Relationship Id="rId5" Type="http://schemas.openxmlformats.org/officeDocument/2006/relationships/table" Target="../tables/table50.xml"/><Relationship Id="rId4" Type="http://schemas.openxmlformats.org/officeDocument/2006/relationships/table" Target="../tables/table49.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53.xml"/><Relationship Id="rId2" Type="http://schemas.openxmlformats.org/officeDocument/2006/relationships/table" Target="../tables/table52.xml"/><Relationship Id="rId1" Type="http://schemas.openxmlformats.org/officeDocument/2006/relationships/printerSettings" Target="../printerSettings/printerSettings12.bin"/><Relationship Id="rId6" Type="http://schemas.openxmlformats.org/officeDocument/2006/relationships/table" Target="../tables/table56.xml"/><Relationship Id="rId5" Type="http://schemas.openxmlformats.org/officeDocument/2006/relationships/table" Target="../tables/table55.xml"/><Relationship Id="rId4" Type="http://schemas.openxmlformats.org/officeDocument/2006/relationships/table" Target="../tables/table54.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58.xml"/><Relationship Id="rId2" Type="http://schemas.openxmlformats.org/officeDocument/2006/relationships/table" Target="../tables/table57.xml"/><Relationship Id="rId1" Type="http://schemas.openxmlformats.org/officeDocument/2006/relationships/printerSettings" Target="../printerSettings/printerSettings13.bin"/><Relationship Id="rId6" Type="http://schemas.openxmlformats.org/officeDocument/2006/relationships/table" Target="../tables/table61.xml"/><Relationship Id="rId5" Type="http://schemas.openxmlformats.org/officeDocument/2006/relationships/table" Target="../tables/table60.xml"/><Relationship Id="rId4" Type="http://schemas.openxmlformats.org/officeDocument/2006/relationships/table" Target="../tables/table59.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hyperlink" Target="https://www.hudexchange.info/homelessness-assistance/coc-esg-virtual-binders/coc-program-components/eligible-costs-for-components/" TargetMode="Externa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files.hudexchange.info/resources/documents/System-Modeling-Project-Type-Matrix.pdf" TargetMode="Externa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2.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5.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printerSettings" Target="../printerSettings/printerSettings3.bin"/><Relationship Id="rId1" Type="http://schemas.openxmlformats.org/officeDocument/2006/relationships/hyperlink" Target="https://files.hudexchange.info/resources/documents/System-Modeling-Project-Type-Matrix.pdf" TargetMode="External"/><Relationship Id="rId5" Type="http://schemas.openxmlformats.org/officeDocument/2006/relationships/table" Target="../tables/table11.xml"/><Relationship Id="rId4" Type="http://schemas.openxmlformats.org/officeDocument/2006/relationships/table" Target="../tables/table10.xml"/></Relationships>
</file>

<file path=xl/worksheets/_rels/sheet6.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printerSettings" Target="../printerSettings/printerSettings4.bin"/><Relationship Id="rId6" Type="http://schemas.openxmlformats.org/officeDocument/2006/relationships/table" Target="../tables/table16.xml"/><Relationship Id="rId5" Type="http://schemas.openxmlformats.org/officeDocument/2006/relationships/table" Target="../tables/table15.xml"/><Relationship Id="rId4" Type="http://schemas.openxmlformats.org/officeDocument/2006/relationships/table" Target="../tables/table1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5.bin"/><Relationship Id="rId6" Type="http://schemas.openxmlformats.org/officeDocument/2006/relationships/table" Target="../tables/table21.xml"/><Relationship Id="rId5" Type="http://schemas.openxmlformats.org/officeDocument/2006/relationships/table" Target="../tables/table20.xml"/><Relationship Id="rId4" Type="http://schemas.openxmlformats.org/officeDocument/2006/relationships/table" Target="../tables/table19.xml"/></Relationships>
</file>

<file path=xl/worksheets/_rels/sheet8.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table" Target="../tables/table22.xml"/><Relationship Id="rId1" Type="http://schemas.openxmlformats.org/officeDocument/2006/relationships/printerSettings" Target="../printerSettings/printerSettings6.bin"/><Relationship Id="rId6" Type="http://schemas.openxmlformats.org/officeDocument/2006/relationships/table" Target="../tables/table26.xml"/><Relationship Id="rId5" Type="http://schemas.openxmlformats.org/officeDocument/2006/relationships/table" Target="../tables/table25.xml"/><Relationship Id="rId4" Type="http://schemas.openxmlformats.org/officeDocument/2006/relationships/table" Target="../tables/table2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table" Target="../tables/table27.xml"/><Relationship Id="rId1" Type="http://schemas.openxmlformats.org/officeDocument/2006/relationships/printerSettings" Target="../printerSettings/printerSettings7.bin"/><Relationship Id="rId6" Type="http://schemas.openxmlformats.org/officeDocument/2006/relationships/table" Target="../tables/table31.xml"/><Relationship Id="rId5" Type="http://schemas.openxmlformats.org/officeDocument/2006/relationships/table" Target="../tables/table30.xml"/><Relationship Id="rId4" Type="http://schemas.openxmlformats.org/officeDocument/2006/relationships/table" Target="../tables/table2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390EE-1097-4C57-83CA-8E91BC3F6D9C}">
  <dimension ref="A1:J99"/>
  <sheetViews>
    <sheetView tabSelected="1" zoomScaleNormal="100" workbookViewId="0">
      <selection sqref="A1:J1"/>
    </sheetView>
  </sheetViews>
  <sheetFormatPr defaultRowHeight="15" x14ac:dyDescent="0.25"/>
  <cols>
    <col min="1" max="3" width="2.5703125" customWidth="1"/>
    <col min="4" max="10" width="18.140625" customWidth="1"/>
  </cols>
  <sheetData>
    <row r="1" spans="1:10" ht="15.75" thickBot="1" x14ac:dyDescent="0.3">
      <c r="A1" s="182"/>
      <c r="B1" s="182"/>
      <c r="C1" s="182"/>
      <c r="D1" s="182"/>
      <c r="E1" s="182"/>
      <c r="F1" s="182"/>
      <c r="G1" s="182"/>
      <c r="H1" s="182"/>
      <c r="I1" s="182"/>
      <c r="J1" s="182"/>
    </row>
    <row r="2" spans="1:10" ht="26.25" x14ac:dyDescent="0.4">
      <c r="A2" s="227" t="s">
        <v>120</v>
      </c>
      <c r="B2" s="228"/>
      <c r="C2" s="228"/>
      <c r="D2" s="228"/>
      <c r="E2" s="228"/>
      <c r="F2" s="228"/>
      <c r="G2" s="228"/>
      <c r="H2" s="228"/>
      <c r="I2" s="228"/>
      <c r="J2" s="229"/>
    </row>
    <row r="3" spans="1:10" ht="43.5" customHeight="1" x14ac:dyDescent="0.25">
      <c r="A3" s="230" t="s">
        <v>231</v>
      </c>
      <c r="B3" s="231"/>
      <c r="C3" s="231"/>
      <c r="D3" s="231"/>
      <c r="E3" s="231"/>
      <c r="F3" s="231"/>
      <c r="G3" s="231"/>
      <c r="H3" s="231"/>
      <c r="I3" s="231"/>
      <c r="J3" s="232"/>
    </row>
    <row r="4" spans="1:10" ht="7.5" customHeight="1" x14ac:dyDescent="0.25">
      <c r="A4" s="236"/>
      <c r="B4" s="237"/>
      <c r="C4" s="237"/>
      <c r="D4" s="237"/>
      <c r="E4" s="237"/>
      <c r="F4" s="237"/>
      <c r="G4" s="237"/>
      <c r="H4" s="237"/>
      <c r="I4" s="237"/>
      <c r="J4" s="238"/>
    </row>
    <row r="5" spans="1:10" ht="43.5" customHeight="1" x14ac:dyDescent="0.25">
      <c r="A5" s="233" t="s">
        <v>121</v>
      </c>
      <c r="B5" s="234"/>
      <c r="C5" s="234"/>
      <c r="D5" s="234"/>
      <c r="E5" s="234"/>
      <c r="F5" s="234"/>
      <c r="G5" s="234"/>
      <c r="H5" s="234"/>
      <c r="I5" s="234"/>
      <c r="J5" s="235"/>
    </row>
    <row r="6" spans="1:10" ht="7.5" customHeight="1" x14ac:dyDescent="0.25">
      <c r="A6" s="236"/>
      <c r="B6" s="237"/>
      <c r="C6" s="237"/>
      <c r="D6" s="237"/>
      <c r="E6" s="237"/>
      <c r="F6" s="237"/>
      <c r="G6" s="237"/>
      <c r="H6" s="237"/>
      <c r="I6" s="237"/>
      <c r="J6" s="238"/>
    </row>
    <row r="7" spans="1:10" ht="29.1" customHeight="1" x14ac:dyDescent="0.25">
      <c r="A7" s="233" t="s">
        <v>238</v>
      </c>
      <c r="B7" s="234"/>
      <c r="C7" s="234"/>
      <c r="D7" s="234"/>
      <c r="E7" s="234"/>
      <c r="F7" s="234"/>
      <c r="G7" s="234"/>
      <c r="H7" s="234"/>
      <c r="I7" s="234"/>
      <c r="J7" s="235"/>
    </row>
    <row r="8" spans="1:10" ht="14.45" customHeight="1" x14ac:dyDescent="0.25">
      <c r="A8" s="216"/>
      <c r="B8" s="182"/>
      <c r="C8" s="182"/>
      <c r="D8" s="182"/>
      <c r="E8" s="182"/>
      <c r="F8" s="182"/>
      <c r="G8" s="182"/>
      <c r="H8" s="182"/>
      <c r="I8" s="182"/>
      <c r="J8" s="217"/>
    </row>
    <row r="9" spans="1:10" ht="26.25" x14ac:dyDescent="0.4">
      <c r="A9" s="209" t="s">
        <v>122</v>
      </c>
      <c r="B9" s="210"/>
      <c r="C9" s="210"/>
      <c r="D9" s="210"/>
      <c r="E9" s="210"/>
      <c r="F9" s="210"/>
      <c r="G9" s="210"/>
      <c r="H9" s="210"/>
      <c r="I9" s="210"/>
      <c r="J9" s="211"/>
    </row>
    <row r="10" spans="1:10" ht="14.45" customHeight="1" x14ac:dyDescent="0.25">
      <c r="A10" s="239" t="s">
        <v>123</v>
      </c>
      <c r="B10" s="240"/>
      <c r="C10" s="240"/>
      <c r="D10" s="182"/>
      <c r="E10" s="182"/>
      <c r="F10" s="182"/>
      <c r="G10" s="182"/>
      <c r="H10" s="182"/>
      <c r="I10" s="182"/>
      <c r="J10" s="217"/>
    </row>
    <row r="11" spans="1:10" ht="7.5" customHeight="1" x14ac:dyDescent="0.25">
      <c r="A11" s="221"/>
      <c r="B11" s="222"/>
      <c r="C11" s="222"/>
      <c r="D11" s="222"/>
      <c r="E11" s="222"/>
      <c r="F11" s="222"/>
      <c r="G11" s="222"/>
      <c r="H11" s="222"/>
      <c r="I11" s="222"/>
      <c r="J11" s="223"/>
    </row>
    <row r="12" spans="1:10" ht="14.45" customHeight="1" x14ac:dyDescent="0.25">
      <c r="A12" s="221" t="s">
        <v>124</v>
      </c>
      <c r="B12" s="222"/>
      <c r="C12" s="222"/>
      <c r="D12" s="222"/>
      <c r="E12" s="222"/>
      <c r="F12" s="222"/>
      <c r="G12" s="222"/>
      <c r="H12" s="222"/>
      <c r="I12" s="222"/>
      <c r="J12" s="223"/>
    </row>
    <row r="13" spans="1:10" ht="7.5" customHeight="1" x14ac:dyDescent="0.25">
      <c r="A13" s="186"/>
      <c r="B13" s="187"/>
      <c r="C13" s="187"/>
      <c r="D13" s="187"/>
      <c r="E13" s="187"/>
      <c r="F13" s="187"/>
      <c r="G13" s="187"/>
      <c r="H13" s="187"/>
      <c r="I13" s="187"/>
      <c r="J13" s="188"/>
    </row>
    <row r="14" spans="1:10" ht="14.45" customHeight="1" x14ac:dyDescent="0.25">
      <c r="A14" s="216" t="s">
        <v>125</v>
      </c>
      <c r="B14" s="182"/>
      <c r="C14" s="182"/>
      <c r="D14" s="182"/>
      <c r="E14" s="182"/>
      <c r="F14" s="182"/>
      <c r="G14" s="182"/>
      <c r="H14" s="182"/>
      <c r="I14" s="182"/>
      <c r="J14" s="217"/>
    </row>
    <row r="15" spans="1:10" ht="7.5" customHeight="1" x14ac:dyDescent="0.25">
      <c r="A15" s="221"/>
      <c r="B15" s="222"/>
      <c r="C15" s="222"/>
      <c r="D15" s="222"/>
      <c r="E15" s="222"/>
      <c r="F15" s="222"/>
      <c r="G15" s="222"/>
      <c r="H15" s="222"/>
      <c r="I15" s="222"/>
      <c r="J15" s="223"/>
    </row>
    <row r="16" spans="1:10" ht="14.45" customHeight="1" x14ac:dyDescent="0.25">
      <c r="A16" s="186" t="s">
        <v>126</v>
      </c>
      <c r="B16" s="187"/>
      <c r="C16" s="187"/>
      <c r="D16" s="187"/>
      <c r="E16" s="187"/>
      <c r="F16" s="187"/>
      <c r="G16" s="187"/>
      <c r="H16" s="187"/>
      <c r="I16" s="187"/>
      <c r="J16" s="188"/>
    </row>
    <row r="17" spans="1:10" ht="7.5" customHeight="1" x14ac:dyDescent="0.25">
      <c r="A17" s="216"/>
      <c r="B17" s="182"/>
      <c r="C17" s="182"/>
      <c r="D17" s="182"/>
      <c r="E17" s="182"/>
      <c r="F17" s="182"/>
      <c r="G17" s="182"/>
      <c r="H17" s="182"/>
      <c r="I17" s="182"/>
      <c r="J17" s="217"/>
    </row>
    <row r="18" spans="1:10" ht="43.5" customHeight="1" x14ac:dyDescent="0.25">
      <c r="A18" s="224" t="s">
        <v>127</v>
      </c>
      <c r="B18" s="225"/>
      <c r="C18" s="225"/>
      <c r="D18" s="225"/>
      <c r="E18" s="225"/>
      <c r="F18" s="225"/>
      <c r="G18" s="225"/>
      <c r="H18" s="225"/>
      <c r="I18" s="225"/>
      <c r="J18" s="226"/>
    </row>
    <row r="19" spans="1:10" ht="7.5" customHeight="1" x14ac:dyDescent="0.25">
      <c r="A19" s="186"/>
      <c r="B19" s="187"/>
      <c r="C19" s="187"/>
      <c r="D19" s="187"/>
      <c r="E19" s="187"/>
      <c r="F19" s="187"/>
      <c r="G19" s="187"/>
      <c r="H19" s="187"/>
      <c r="I19" s="187"/>
      <c r="J19" s="188"/>
    </row>
    <row r="20" spans="1:10" ht="14.45" customHeight="1" x14ac:dyDescent="0.25">
      <c r="A20" s="215" t="s">
        <v>128</v>
      </c>
      <c r="B20" s="204"/>
      <c r="C20" s="204"/>
      <c r="D20" s="204"/>
      <c r="E20" s="204"/>
      <c r="F20" s="204"/>
      <c r="G20" s="204"/>
      <c r="H20" s="204"/>
      <c r="I20" s="204"/>
      <c r="J20" s="205"/>
    </row>
    <row r="21" spans="1:10" ht="14.45" customHeight="1" x14ac:dyDescent="0.25">
      <c r="A21" s="216"/>
      <c r="B21" s="182"/>
      <c r="C21" s="182"/>
      <c r="D21" s="182"/>
      <c r="E21" s="182"/>
      <c r="F21" s="182"/>
      <c r="G21" s="182"/>
      <c r="H21" s="182"/>
      <c r="I21" s="182"/>
      <c r="J21" s="217"/>
    </row>
    <row r="22" spans="1:10" ht="26.25" x14ac:dyDescent="0.4">
      <c r="A22" s="209" t="s">
        <v>129</v>
      </c>
      <c r="B22" s="210"/>
      <c r="C22" s="210"/>
      <c r="D22" s="210"/>
      <c r="E22" s="210"/>
      <c r="F22" s="210"/>
      <c r="G22" s="210"/>
      <c r="H22" s="210"/>
      <c r="I22" s="210"/>
      <c r="J22" s="211"/>
    </row>
    <row r="23" spans="1:10" ht="43.5" customHeight="1" x14ac:dyDescent="0.25">
      <c r="A23" s="97" t="s">
        <v>130</v>
      </c>
      <c r="B23" s="206" t="s">
        <v>237</v>
      </c>
      <c r="C23" s="207"/>
      <c r="D23" s="207"/>
      <c r="E23" s="207"/>
      <c r="F23" s="207"/>
      <c r="G23" s="207"/>
      <c r="H23" s="207"/>
      <c r="I23" s="207"/>
      <c r="J23" s="208"/>
    </row>
    <row r="24" spans="1:10" ht="7.5" customHeight="1" x14ac:dyDescent="0.25">
      <c r="A24" s="218"/>
      <c r="B24" s="219"/>
      <c r="C24" s="219"/>
      <c r="D24" s="219"/>
      <c r="E24" s="219"/>
      <c r="F24" s="219"/>
      <c r="G24" s="219"/>
      <c r="H24" s="219"/>
      <c r="I24" s="219"/>
      <c r="J24" s="220"/>
    </row>
    <row r="25" spans="1:10" ht="57.95" customHeight="1" x14ac:dyDescent="0.25">
      <c r="A25" s="97" t="s">
        <v>132</v>
      </c>
      <c r="B25" s="203" t="s">
        <v>131</v>
      </c>
      <c r="C25" s="204"/>
      <c r="D25" s="204"/>
      <c r="E25" s="204"/>
      <c r="F25" s="204"/>
      <c r="G25" s="204"/>
      <c r="H25" s="204"/>
      <c r="I25" s="204"/>
      <c r="J25" s="205"/>
    </row>
    <row r="26" spans="1:10" ht="7.5" customHeight="1" x14ac:dyDescent="0.25">
      <c r="A26" s="186"/>
      <c r="B26" s="187"/>
      <c r="C26" s="187"/>
      <c r="D26" s="187"/>
      <c r="E26" s="187"/>
      <c r="F26" s="187"/>
      <c r="G26" s="187"/>
      <c r="H26" s="187"/>
      <c r="I26" s="187"/>
      <c r="J26" s="188"/>
    </row>
    <row r="27" spans="1:10" ht="14.45" customHeight="1" x14ac:dyDescent="0.25">
      <c r="A27" s="97" t="s">
        <v>133</v>
      </c>
      <c r="B27" s="189" t="s">
        <v>134</v>
      </c>
      <c r="C27" s="187"/>
      <c r="D27" s="187"/>
      <c r="E27" s="187"/>
      <c r="F27" s="187"/>
      <c r="G27" s="187"/>
      <c r="H27" s="187"/>
      <c r="I27" s="187"/>
      <c r="J27" s="188"/>
    </row>
    <row r="28" spans="1:10" ht="43.5" customHeight="1" x14ac:dyDescent="0.25">
      <c r="A28" s="98"/>
      <c r="B28" s="96" t="s">
        <v>135</v>
      </c>
      <c r="C28" s="203" t="s">
        <v>145</v>
      </c>
      <c r="D28" s="204"/>
      <c r="E28" s="204"/>
      <c r="F28" s="204"/>
      <c r="G28" s="204"/>
      <c r="H28" s="204"/>
      <c r="I28" s="204"/>
      <c r="J28" s="205"/>
    </row>
    <row r="29" spans="1:10" ht="29.1" customHeight="1" x14ac:dyDescent="0.25">
      <c r="A29" s="98"/>
      <c r="B29" s="96" t="s">
        <v>136</v>
      </c>
      <c r="C29" s="203" t="s">
        <v>146</v>
      </c>
      <c r="D29" s="204"/>
      <c r="E29" s="204"/>
      <c r="F29" s="204"/>
      <c r="G29" s="204"/>
      <c r="H29" s="204"/>
      <c r="I29" s="204"/>
      <c r="J29" s="205"/>
    </row>
    <row r="30" spans="1:10" ht="7.5" customHeight="1" x14ac:dyDescent="0.25">
      <c r="A30" s="186"/>
      <c r="B30" s="187"/>
      <c r="C30" s="187"/>
      <c r="D30" s="187"/>
      <c r="E30" s="187"/>
      <c r="F30" s="187"/>
      <c r="G30" s="187"/>
      <c r="H30" s="187"/>
      <c r="I30" s="187"/>
      <c r="J30" s="188"/>
    </row>
    <row r="31" spans="1:10" ht="57.95" customHeight="1" x14ac:dyDescent="0.25">
      <c r="A31" s="97" t="s">
        <v>137</v>
      </c>
      <c r="B31" s="203" t="s">
        <v>147</v>
      </c>
      <c r="C31" s="204"/>
      <c r="D31" s="204"/>
      <c r="E31" s="204"/>
      <c r="F31" s="204"/>
      <c r="G31" s="204"/>
      <c r="H31" s="204"/>
      <c r="I31" s="204"/>
      <c r="J31" s="205"/>
    </row>
    <row r="32" spans="1:10" ht="7.5" customHeight="1" x14ac:dyDescent="0.25">
      <c r="A32" s="186"/>
      <c r="B32" s="187"/>
      <c r="C32" s="187"/>
      <c r="D32" s="187"/>
      <c r="E32" s="187"/>
      <c r="F32" s="187"/>
      <c r="G32" s="187"/>
      <c r="H32" s="187"/>
      <c r="I32" s="187"/>
      <c r="J32" s="188"/>
    </row>
    <row r="33" spans="1:10" ht="29.1" customHeight="1" x14ac:dyDescent="0.25">
      <c r="A33" s="97" t="s">
        <v>138</v>
      </c>
      <c r="B33" s="203" t="s">
        <v>139</v>
      </c>
      <c r="C33" s="204"/>
      <c r="D33" s="204"/>
      <c r="E33" s="204"/>
      <c r="F33" s="204"/>
      <c r="G33" s="204"/>
      <c r="H33" s="204"/>
      <c r="I33" s="204"/>
      <c r="J33" s="205"/>
    </row>
    <row r="34" spans="1:10" ht="7.5" customHeight="1" x14ac:dyDescent="0.25">
      <c r="A34" s="186"/>
      <c r="B34" s="187"/>
      <c r="C34" s="187"/>
      <c r="D34" s="187"/>
      <c r="E34" s="187"/>
      <c r="F34" s="187"/>
      <c r="G34" s="187"/>
      <c r="H34" s="187"/>
      <c r="I34" s="187"/>
      <c r="J34" s="188"/>
    </row>
    <row r="35" spans="1:10" ht="14.45" customHeight="1" x14ac:dyDescent="0.25">
      <c r="A35" s="97" t="s">
        <v>140</v>
      </c>
      <c r="B35" s="206" t="s">
        <v>141</v>
      </c>
      <c r="C35" s="207"/>
      <c r="D35" s="207"/>
      <c r="E35" s="207"/>
      <c r="F35" s="207"/>
      <c r="G35" s="207"/>
      <c r="H35" s="207"/>
      <c r="I35" s="207"/>
      <c r="J35" s="208"/>
    </row>
    <row r="36" spans="1:10" ht="14.45" customHeight="1" x14ac:dyDescent="0.25">
      <c r="A36" s="186"/>
      <c r="B36" s="187"/>
      <c r="C36" s="187"/>
      <c r="D36" s="187"/>
      <c r="E36" s="187"/>
      <c r="F36" s="187"/>
      <c r="G36" s="187"/>
      <c r="H36" s="187"/>
      <c r="I36" s="187"/>
      <c r="J36" s="188"/>
    </row>
    <row r="37" spans="1:10" ht="26.25" x14ac:dyDescent="0.4">
      <c r="A37" s="209" t="s">
        <v>142</v>
      </c>
      <c r="B37" s="210"/>
      <c r="C37" s="210"/>
      <c r="D37" s="210"/>
      <c r="E37" s="210"/>
      <c r="F37" s="210"/>
      <c r="G37" s="210"/>
      <c r="H37" s="210"/>
      <c r="I37" s="210"/>
      <c r="J37" s="211"/>
    </row>
    <row r="38" spans="1:10" ht="57.95" customHeight="1" x14ac:dyDescent="0.25">
      <c r="A38" s="195" t="s">
        <v>143</v>
      </c>
      <c r="B38" s="190"/>
      <c r="C38" s="190"/>
      <c r="D38" s="190"/>
      <c r="E38" s="190"/>
      <c r="F38" s="190"/>
      <c r="G38" s="190"/>
      <c r="H38" s="190"/>
      <c r="I38" s="190"/>
      <c r="J38" s="191"/>
    </row>
    <row r="39" spans="1:10" ht="14.45" customHeight="1" x14ac:dyDescent="0.25">
      <c r="A39" s="183"/>
      <c r="B39" s="184"/>
      <c r="C39" s="184"/>
      <c r="D39" s="184"/>
      <c r="E39" s="184"/>
      <c r="F39" s="184"/>
      <c r="G39" s="184"/>
      <c r="H39" s="184"/>
      <c r="I39" s="184"/>
      <c r="J39" s="185"/>
    </row>
    <row r="40" spans="1:10" ht="14.45" customHeight="1" x14ac:dyDescent="0.25">
      <c r="A40" s="212" t="s">
        <v>144</v>
      </c>
      <c r="B40" s="213"/>
      <c r="C40" s="213"/>
      <c r="D40" s="213"/>
      <c r="E40" s="213"/>
      <c r="F40" s="213"/>
      <c r="G40" s="213"/>
      <c r="H40" s="213"/>
      <c r="I40" s="213"/>
      <c r="J40" s="214"/>
    </row>
    <row r="41" spans="1:10" ht="14.45" customHeight="1" x14ac:dyDescent="0.25">
      <c r="A41" s="183" t="s">
        <v>148</v>
      </c>
      <c r="B41" s="184"/>
      <c r="C41" s="184"/>
      <c r="D41" s="184"/>
      <c r="E41" s="184"/>
      <c r="F41" s="184"/>
      <c r="G41" s="184"/>
      <c r="H41" s="184"/>
      <c r="I41" s="184"/>
      <c r="J41" s="185"/>
    </row>
    <row r="42" spans="1:10" ht="14.45" customHeight="1" x14ac:dyDescent="0.25">
      <c r="A42" s="100"/>
      <c r="B42" s="95" t="s">
        <v>149</v>
      </c>
      <c r="C42" s="189" t="s">
        <v>150</v>
      </c>
      <c r="D42" s="187"/>
      <c r="E42" s="187"/>
      <c r="F42" s="187"/>
      <c r="G42" s="187"/>
      <c r="H42" s="187"/>
      <c r="I42" s="187"/>
      <c r="J42" s="188"/>
    </row>
    <row r="43" spans="1:10" ht="14.45" customHeight="1" x14ac:dyDescent="0.25">
      <c r="A43" s="100"/>
      <c r="B43" s="95" t="s">
        <v>149</v>
      </c>
      <c r="C43" s="189" t="s">
        <v>151</v>
      </c>
      <c r="D43" s="187"/>
      <c r="E43" s="187"/>
      <c r="F43" s="187"/>
      <c r="G43" s="187"/>
      <c r="H43" s="187"/>
      <c r="I43" s="187"/>
      <c r="J43" s="188"/>
    </row>
    <row r="44" spans="1:10" ht="14.45" customHeight="1" x14ac:dyDescent="0.25">
      <c r="A44" s="101"/>
      <c r="B44" s="95"/>
      <c r="C44" s="95" t="s">
        <v>152</v>
      </c>
      <c r="D44" s="184" t="s">
        <v>232</v>
      </c>
      <c r="E44" s="184"/>
      <c r="F44" s="184"/>
      <c r="G44" s="184"/>
      <c r="H44" s="184"/>
      <c r="I44" s="184"/>
      <c r="J44" s="185"/>
    </row>
    <row r="45" spans="1:10" ht="14.45" customHeight="1" x14ac:dyDescent="0.25">
      <c r="A45" s="100"/>
      <c r="B45" s="95" t="s">
        <v>149</v>
      </c>
      <c r="C45" s="189" t="s">
        <v>153</v>
      </c>
      <c r="D45" s="187"/>
      <c r="E45" s="187"/>
      <c r="F45" s="187"/>
      <c r="G45" s="187"/>
      <c r="H45" s="187"/>
      <c r="I45" s="187"/>
      <c r="J45" s="188"/>
    </row>
    <row r="46" spans="1:10" ht="14.45" customHeight="1" x14ac:dyDescent="0.25">
      <c r="A46" s="183"/>
      <c r="B46" s="184"/>
      <c r="C46" s="184"/>
      <c r="D46" s="184"/>
      <c r="E46" s="184"/>
      <c r="F46" s="184"/>
      <c r="G46" s="184"/>
      <c r="H46" s="184"/>
      <c r="I46" s="184"/>
      <c r="J46" s="185"/>
    </row>
    <row r="47" spans="1:10" ht="14.45" customHeight="1" x14ac:dyDescent="0.25">
      <c r="A47" s="212" t="s">
        <v>154</v>
      </c>
      <c r="B47" s="213"/>
      <c r="C47" s="213"/>
      <c r="D47" s="213"/>
      <c r="E47" s="213"/>
      <c r="F47" s="213"/>
      <c r="G47" s="213"/>
      <c r="H47" s="213"/>
      <c r="I47" s="213"/>
      <c r="J47" s="214"/>
    </row>
    <row r="48" spans="1:10" ht="14.45" customHeight="1" x14ac:dyDescent="0.25">
      <c r="A48" s="183" t="s">
        <v>155</v>
      </c>
      <c r="B48" s="184"/>
      <c r="C48" s="184"/>
      <c r="D48" s="184"/>
      <c r="E48" s="184"/>
      <c r="F48" s="184"/>
      <c r="G48" s="184"/>
      <c r="H48" s="184"/>
      <c r="I48" s="184"/>
      <c r="J48" s="185"/>
    </row>
    <row r="49" spans="1:10" ht="14.45" customHeight="1" x14ac:dyDescent="0.25">
      <c r="A49" s="100"/>
      <c r="B49" s="95" t="s">
        <v>149</v>
      </c>
      <c r="C49" s="184" t="s">
        <v>156</v>
      </c>
      <c r="D49" s="184"/>
      <c r="E49" s="184"/>
      <c r="F49" s="184"/>
      <c r="G49" s="184"/>
      <c r="H49" s="184"/>
      <c r="I49" s="184"/>
      <c r="J49" s="185"/>
    </row>
    <row r="50" spans="1:10" ht="43.5" customHeight="1" x14ac:dyDescent="0.25">
      <c r="A50" s="102"/>
      <c r="B50" s="95" t="s">
        <v>149</v>
      </c>
      <c r="C50" s="190" t="s">
        <v>157</v>
      </c>
      <c r="D50" s="190"/>
      <c r="E50" s="190"/>
      <c r="F50" s="190"/>
      <c r="G50" s="190"/>
      <c r="H50" s="190"/>
      <c r="I50" s="190"/>
      <c r="J50" s="191"/>
    </row>
    <row r="51" spans="1:10" ht="14.45" customHeight="1" x14ac:dyDescent="0.25">
      <c r="A51" s="101"/>
      <c r="B51" s="93"/>
      <c r="C51" s="95" t="s">
        <v>152</v>
      </c>
      <c r="D51" s="184" t="s">
        <v>158</v>
      </c>
      <c r="E51" s="184"/>
      <c r="F51" s="184"/>
      <c r="G51" s="184"/>
      <c r="H51" s="184"/>
      <c r="I51" s="184"/>
      <c r="J51" s="185"/>
    </row>
    <row r="52" spans="1:10" ht="14.45" customHeight="1" x14ac:dyDescent="0.25">
      <c r="A52" s="99"/>
      <c r="B52" s="93"/>
      <c r="C52" s="95" t="s">
        <v>152</v>
      </c>
      <c r="D52" s="184" t="s">
        <v>159</v>
      </c>
      <c r="E52" s="184"/>
      <c r="F52" s="184"/>
      <c r="G52" s="184"/>
      <c r="H52" s="184"/>
      <c r="I52" s="184"/>
      <c r="J52" s="185"/>
    </row>
    <row r="53" spans="1:10" ht="14.45" customHeight="1" x14ac:dyDescent="0.25">
      <c r="A53" s="183"/>
      <c r="B53" s="184"/>
      <c r="C53" s="184"/>
      <c r="D53" s="184"/>
      <c r="E53" s="184"/>
      <c r="F53" s="184"/>
      <c r="G53" s="184"/>
      <c r="H53" s="184"/>
      <c r="I53" s="184"/>
      <c r="J53" s="185"/>
    </row>
    <row r="54" spans="1:10" x14ac:dyDescent="0.25">
      <c r="A54" s="212" t="s">
        <v>160</v>
      </c>
      <c r="B54" s="213"/>
      <c r="C54" s="213"/>
      <c r="D54" s="213"/>
      <c r="E54" s="213"/>
      <c r="F54" s="213"/>
      <c r="G54" s="213"/>
      <c r="H54" s="213"/>
      <c r="I54" s="213"/>
      <c r="J54" s="214"/>
    </row>
    <row r="55" spans="1:10" ht="43.5" customHeight="1" x14ac:dyDescent="0.25">
      <c r="A55" s="195" t="s">
        <v>161</v>
      </c>
      <c r="B55" s="190"/>
      <c r="C55" s="190"/>
      <c r="D55" s="190"/>
      <c r="E55" s="190"/>
      <c r="F55" s="190"/>
      <c r="G55" s="190"/>
      <c r="H55" s="190"/>
      <c r="I55" s="190"/>
      <c r="J55" s="191"/>
    </row>
    <row r="56" spans="1:10" ht="7.5" customHeight="1" x14ac:dyDescent="0.25">
      <c r="A56" s="183"/>
      <c r="B56" s="184"/>
      <c r="C56" s="184"/>
      <c r="D56" s="184"/>
      <c r="E56" s="184"/>
      <c r="F56" s="184"/>
      <c r="G56" s="184"/>
      <c r="H56" s="184"/>
      <c r="I56" s="184"/>
      <c r="J56" s="185"/>
    </row>
    <row r="57" spans="1:10" ht="29.1" customHeight="1" x14ac:dyDescent="0.25">
      <c r="A57" s="195" t="s">
        <v>162</v>
      </c>
      <c r="B57" s="190"/>
      <c r="C57" s="190"/>
      <c r="D57" s="190"/>
      <c r="E57" s="190"/>
      <c r="F57" s="190"/>
      <c r="G57" s="190"/>
      <c r="H57" s="190"/>
      <c r="I57" s="190"/>
      <c r="J57" s="191"/>
    </row>
    <row r="58" spans="1:10" ht="7.5" customHeight="1" x14ac:dyDescent="0.25">
      <c r="A58" s="183"/>
      <c r="B58" s="184"/>
      <c r="C58" s="184"/>
      <c r="D58" s="184"/>
      <c r="E58" s="184"/>
      <c r="F58" s="184"/>
      <c r="G58" s="184"/>
      <c r="H58" s="184"/>
      <c r="I58" s="184"/>
      <c r="J58" s="185"/>
    </row>
    <row r="59" spans="1:10" ht="14.45" customHeight="1" x14ac:dyDescent="0.25">
      <c r="A59" s="192" t="s">
        <v>163</v>
      </c>
      <c r="B59" s="193"/>
      <c r="C59" s="193"/>
      <c r="D59" s="193"/>
      <c r="E59" s="193"/>
      <c r="F59" s="193"/>
      <c r="G59" s="193"/>
      <c r="H59" s="193"/>
      <c r="I59" s="193"/>
      <c r="J59" s="194"/>
    </row>
    <row r="60" spans="1:10" ht="57.95" customHeight="1" x14ac:dyDescent="0.25">
      <c r="A60" s="195" t="s">
        <v>164</v>
      </c>
      <c r="B60" s="190"/>
      <c r="C60" s="190"/>
      <c r="D60" s="190"/>
      <c r="E60" s="190"/>
      <c r="F60" s="190"/>
      <c r="G60" s="190"/>
      <c r="H60" s="190"/>
      <c r="I60" s="190"/>
      <c r="J60" s="191"/>
    </row>
    <row r="61" spans="1:10" ht="7.5" customHeight="1" x14ac:dyDescent="0.25">
      <c r="A61" s="183"/>
      <c r="B61" s="184"/>
      <c r="C61" s="184"/>
      <c r="D61" s="184"/>
      <c r="E61" s="184"/>
      <c r="F61" s="184"/>
      <c r="G61" s="184"/>
      <c r="H61" s="184"/>
      <c r="I61" s="184"/>
      <c r="J61" s="185"/>
    </row>
    <row r="62" spans="1:10" ht="57.95" customHeight="1" x14ac:dyDescent="0.25">
      <c r="A62" s="195" t="s">
        <v>165</v>
      </c>
      <c r="B62" s="190"/>
      <c r="C62" s="190"/>
      <c r="D62" s="190"/>
      <c r="E62" s="190"/>
      <c r="F62" s="190"/>
      <c r="G62" s="190"/>
      <c r="H62" s="190"/>
      <c r="I62" s="190"/>
      <c r="J62" s="191"/>
    </row>
    <row r="63" spans="1:10" ht="7.5" customHeight="1" x14ac:dyDescent="0.25">
      <c r="A63" s="183"/>
      <c r="B63" s="184"/>
      <c r="C63" s="184"/>
      <c r="D63" s="184"/>
      <c r="E63" s="184"/>
      <c r="F63" s="184"/>
      <c r="G63" s="184"/>
      <c r="H63" s="184"/>
      <c r="I63" s="184"/>
      <c r="J63" s="185"/>
    </row>
    <row r="64" spans="1:10" ht="14.45" customHeight="1" x14ac:dyDescent="0.25">
      <c r="A64" s="192" t="s">
        <v>166</v>
      </c>
      <c r="B64" s="193"/>
      <c r="C64" s="193"/>
      <c r="D64" s="193"/>
      <c r="E64" s="193"/>
      <c r="F64" s="193"/>
      <c r="G64" s="193"/>
      <c r="H64" s="193"/>
      <c r="I64" s="193"/>
      <c r="J64" s="194"/>
    </row>
    <row r="65" spans="1:10" ht="57.95" customHeight="1" x14ac:dyDescent="0.25">
      <c r="A65" s="195" t="s">
        <v>167</v>
      </c>
      <c r="B65" s="190"/>
      <c r="C65" s="190"/>
      <c r="D65" s="190"/>
      <c r="E65" s="190"/>
      <c r="F65" s="190"/>
      <c r="G65" s="190"/>
      <c r="H65" s="190"/>
      <c r="I65" s="190"/>
      <c r="J65" s="191"/>
    </row>
    <row r="66" spans="1:10" ht="7.5" customHeight="1" x14ac:dyDescent="0.25">
      <c r="A66" s="183"/>
      <c r="B66" s="184"/>
      <c r="C66" s="184"/>
      <c r="D66" s="184"/>
      <c r="E66" s="184"/>
      <c r="F66" s="184"/>
      <c r="G66" s="184"/>
      <c r="H66" s="184"/>
      <c r="I66" s="184"/>
      <c r="J66" s="185"/>
    </row>
    <row r="67" spans="1:10" ht="29.1" customHeight="1" x14ac:dyDescent="0.25">
      <c r="A67" s="195" t="s">
        <v>168</v>
      </c>
      <c r="B67" s="190"/>
      <c r="C67" s="190"/>
      <c r="D67" s="190"/>
      <c r="E67" s="190"/>
      <c r="F67" s="190"/>
      <c r="G67" s="190"/>
      <c r="H67" s="190"/>
      <c r="I67" s="190"/>
      <c r="J67" s="191"/>
    </row>
    <row r="68" spans="1:10" ht="7.5" customHeight="1" x14ac:dyDescent="0.25">
      <c r="A68" s="183"/>
      <c r="B68" s="184"/>
      <c r="C68" s="184"/>
      <c r="D68" s="184"/>
      <c r="E68" s="184"/>
      <c r="F68" s="184"/>
      <c r="G68" s="184"/>
      <c r="H68" s="184"/>
      <c r="I68" s="184"/>
      <c r="J68" s="185"/>
    </row>
    <row r="69" spans="1:10" ht="14.45" customHeight="1" x14ac:dyDescent="0.25">
      <c r="A69" s="192" t="s">
        <v>169</v>
      </c>
      <c r="B69" s="193"/>
      <c r="C69" s="193"/>
      <c r="D69" s="193"/>
      <c r="E69" s="193"/>
      <c r="F69" s="193"/>
      <c r="G69" s="193"/>
      <c r="H69" s="193"/>
      <c r="I69" s="193"/>
      <c r="J69" s="194"/>
    </row>
    <row r="70" spans="1:10" ht="72.599999999999994" customHeight="1" x14ac:dyDescent="0.25">
      <c r="A70" s="195" t="s">
        <v>170</v>
      </c>
      <c r="B70" s="190"/>
      <c r="C70" s="190"/>
      <c r="D70" s="190"/>
      <c r="E70" s="190"/>
      <c r="F70" s="190"/>
      <c r="G70" s="190"/>
      <c r="H70" s="190"/>
      <c r="I70" s="190"/>
      <c r="J70" s="191"/>
    </row>
    <row r="71" spans="1:10" ht="7.5" customHeight="1" x14ac:dyDescent="0.25">
      <c r="A71" s="183"/>
      <c r="B71" s="184"/>
      <c r="C71" s="184"/>
      <c r="D71" s="184"/>
      <c r="E71" s="184"/>
      <c r="F71" s="184"/>
      <c r="G71" s="184"/>
      <c r="H71" s="184"/>
      <c r="I71" s="184"/>
      <c r="J71" s="185"/>
    </row>
    <row r="72" spans="1:10" ht="29.1" customHeight="1" x14ac:dyDescent="0.25">
      <c r="A72" s="195" t="s">
        <v>171</v>
      </c>
      <c r="B72" s="190"/>
      <c r="C72" s="190"/>
      <c r="D72" s="190"/>
      <c r="E72" s="190"/>
      <c r="F72" s="190"/>
      <c r="G72" s="190"/>
      <c r="H72" s="190"/>
      <c r="I72" s="190"/>
      <c r="J72" s="191"/>
    </row>
    <row r="73" spans="1:10" ht="7.5" customHeight="1" x14ac:dyDescent="0.25">
      <c r="A73" s="183"/>
      <c r="B73" s="184"/>
      <c r="C73" s="184"/>
      <c r="D73" s="184"/>
      <c r="E73" s="184"/>
      <c r="F73" s="184"/>
      <c r="G73" s="184"/>
      <c r="H73" s="184"/>
      <c r="I73" s="184"/>
      <c r="J73" s="185"/>
    </row>
    <row r="74" spans="1:10" ht="14.45" customHeight="1" x14ac:dyDescent="0.25">
      <c r="A74" s="195" t="s">
        <v>172</v>
      </c>
      <c r="B74" s="190"/>
      <c r="C74" s="190"/>
      <c r="D74" s="190"/>
      <c r="E74" s="190"/>
      <c r="F74" s="190"/>
      <c r="G74" s="190"/>
      <c r="H74" s="190"/>
      <c r="I74" s="190"/>
      <c r="J74" s="191"/>
    </row>
    <row r="75" spans="1:10" ht="7.5" customHeight="1" x14ac:dyDescent="0.25">
      <c r="A75" s="183"/>
      <c r="B75" s="184"/>
      <c r="C75" s="184"/>
      <c r="D75" s="184"/>
      <c r="E75" s="184"/>
      <c r="F75" s="184"/>
      <c r="G75" s="184"/>
      <c r="H75" s="184"/>
      <c r="I75" s="184"/>
      <c r="J75" s="185"/>
    </row>
    <row r="76" spans="1:10" ht="14.45" customHeight="1" x14ac:dyDescent="0.25">
      <c r="A76" s="192" t="s">
        <v>173</v>
      </c>
      <c r="B76" s="193"/>
      <c r="C76" s="193"/>
      <c r="D76" s="193"/>
      <c r="E76" s="193"/>
      <c r="F76" s="193"/>
      <c r="G76" s="193"/>
      <c r="H76" s="193"/>
      <c r="I76" s="193"/>
      <c r="J76" s="194"/>
    </row>
    <row r="77" spans="1:10" ht="29.1" customHeight="1" x14ac:dyDescent="0.25">
      <c r="A77" s="195" t="s">
        <v>174</v>
      </c>
      <c r="B77" s="190"/>
      <c r="C77" s="190"/>
      <c r="D77" s="190"/>
      <c r="E77" s="190"/>
      <c r="F77" s="190"/>
      <c r="G77" s="190"/>
      <c r="H77" s="190"/>
      <c r="I77" s="190"/>
      <c r="J77" s="191"/>
    </row>
    <row r="78" spans="1:10" ht="7.5" customHeight="1" x14ac:dyDescent="0.25">
      <c r="A78" s="183"/>
      <c r="B78" s="184"/>
      <c r="C78" s="184"/>
      <c r="D78" s="184"/>
      <c r="E78" s="184"/>
      <c r="F78" s="184"/>
      <c r="G78" s="184"/>
      <c r="H78" s="184"/>
      <c r="I78" s="184"/>
      <c r="J78" s="185"/>
    </row>
    <row r="79" spans="1:10" ht="57.95" customHeight="1" x14ac:dyDescent="0.25">
      <c r="A79" s="195" t="s">
        <v>175</v>
      </c>
      <c r="B79" s="190"/>
      <c r="C79" s="190"/>
      <c r="D79" s="190"/>
      <c r="E79" s="190"/>
      <c r="F79" s="190"/>
      <c r="G79" s="190"/>
      <c r="H79" s="190"/>
      <c r="I79" s="190"/>
      <c r="J79" s="191"/>
    </row>
    <row r="80" spans="1:10" ht="7.5" customHeight="1" x14ac:dyDescent="0.25">
      <c r="A80" s="183"/>
      <c r="B80" s="184"/>
      <c r="C80" s="184"/>
      <c r="D80" s="184"/>
      <c r="E80" s="184"/>
      <c r="F80" s="184"/>
      <c r="G80" s="184"/>
      <c r="H80" s="184"/>
      <c r="I80" s="184"/>
      <c r="J80" s="185"/>
    </row>
    <row r="81" spans="1:10" ht="14.45" customHeight="1" x14ac:dyDescent="0.25">
      <c r="A81" s="192" t="s">
        <v>176</v>
      </c>
      <c r="B81" s="193"/>
      <c r="C81" s="193"/>
      <c r="D81" s="193"/>
      <c r="E81" s="193"/>
      <c r="F81" s="193"/>
      <c r="G81" s="193"/>
      <c r="H81" s="193"/>
      <c r="I81" s="193"/>
      <c r="J81" s="194"/>
    </row>
    <row r="82" spans="1:10" ht="14.45" customHeight="1" x14ac:dyDescent="0.25">
      <c r="A82" s="195" t="s">
        <v>177</v>
      </c>
      <c r="B82" s="190"/>
      <c r="C82" s="190"/>
      <c r="D82" s="190"/>
      <c r="E82" s="190"/>
      <c r="F82" s="190"/>
      <c r="G82" s="190"/>
      <c r="H82" s="190"/>
      <c r="I82" s="190"/>
      <c r="J82" s="191"/>
    </row>
    <row r="83" spans="1:10" ht="14.45" customHeight="1" x14ac:dyDescent="0.25">
      <c r="A83" s="183"/>
      <c r="B83" s="184"/>
      <c r="C83" s="184"/>
      <c r="D83" s="184"/>
      <c r="E83" s="184"/>
      <c r="F83" s="184"/>
      <c r="G83" s="184"/>
      <c r="H83" s="184"/>
      <c r="I83" s="184"/>
      <c r="J83" s="185"/>
    </row>
    <row r="84" spans="1:10" ht="26.25" x14ac:dyDescent="0.4">
      <c r="A84" s="200" t="s">
        <v>178</v>
      </c>
      <c r="B84" s="201"/>
      <c r="C84" s="201"/>
      <c r="D84" s="201"/>
      <c r="E84" s="201"/>
      <c r="F84" s="201"/>
      <c r="G84" s="201"/>
      <c r="H84" s="201"/>
      <c r="I84" s="201"/>
      <c r="J84" s="202"/>
    </row>
    <row r="85" spans="1:10" ht="57.95" customHeight="1" x14ac:dyDescent="0.25">
      <c r="A85" s="195" t="s">
        <v>233</v>
      </c>
      <c r="B85" s="190"/>
      <c r="C85" s="190"/>
      <c r="D85" s="190"/>
      <c r="E85" s="190"/>
      <c r="F85" s="190"/>
      <c r="G85" s="190"/>
      <c r="H85" s="190"/>
      <c r="I85" s="190"/>
      <c r="J85" s="191"/>
    </row>
    <row r="86" spans="1:10" ht="29.1" customHeight="1" x14ac:dyDescent="0.25">
      <c r="A86" s="102"/>
      <c r="B86" s="95" t="s">
        <v>149</v>
      </c>
      <c r="C86" s="190" t="s">
        <v>179</v>
      </c>
      <c r="D86" s="190"/>
      <c r="E86" s="190"/>
      <c r="F86" s="190"/>
      <c r="G86" s="190"/>
      <c r="H86" s="190"/>
      <c r="I86" s="190"/>
      <c r="J86" s="191"/>
    </row>
    <row r="87" spans="1:10" ht="29.1" customHeight="1" x14ac:dyDescent="0.25">
      <c r="A87" s="102"/>
      <c r="B87" s="95" t="s">
        <v>149</v>
      </c>
      <c r="C87" s="190" t="s">
        <v>180</v>
      </c>
      <c r="D87" s="190"/>
      <c r="E87" s="190"/>
      <c r="F87" s="190"/>
      <c r="G87" s="190"/>
      <c r="H87" s="190"/>
      <c r="I87" s="190"/>
      <c r="J87" s="191"/>
    </row>
    <row r="88" spans="1:10" ht="14.45" customHeight="1" x14ac:dyDescent="0.25">
      <c r="A88" s="183"/>
      <c r="B88" s="184"/>
      <c r="C88" s="184"/>
      <c r="D88" s="184"/>
      <c r="E88" s="184"/>
      <c r="F88" s="184"/>
      <c r="G88" s="184"/>
      <c r="H88" s="184"/>
      <c r="I88" s="184"/>
      <c r="J88" s="185"/>
    </row>
    <row r="89" spans="1:10" ht="26.25" x14ac:dyDescent="0.4">
      <c r="A89" s="200" t="s">
        <v>181</v>
      </c>
      <c r="B89" s="201"/>
      <c r="C89" s="201"/>
      <c r="D89" s="201"/>
      <c r="E89" s="201"/>
      <c r="F89" s="201"/>
      <c r="G89" s="201"/>
      <c r="H89" s="201"/>
      <c r="I89" s="201"/>
      <c r="J89" s="202"/>
    </row>
    <row r="90" spans="1:10" ht="14.45" customHeight="1" x14ac:dyDescent="0.25">
      <c r="A90" s="183" t="s">
        <v>236</v>
      </c>
      <c r="B90" s="184"/>
      <c r="C90" s="184"/>
      <c r="D90" s="184"/>
      <c r="E90" s="184"/>
      <c r="F90" s="184"/>
      <c r="G90" s="184"/>
      <c r="H90" s="184"/>
      <c r="I90" s="184"/>
      <c r="J90" s="185"/>
    </row>
    <row r="91" spans="1:10" ht="14.45" customHeight="1" x14ac:dyDescent="0.25">
      <c r="A91" s="102"/>
      <c r="B91" s="95" t="s">
        <v>149</v>
      </c>
      <c r="C91" s="184" t="s">
        <v>182</v>
      </c>
      <c r="D91" s="184"/>
      <c r="E91" s="184"/>
      <c r="F91" s="184"/>
      <c r="G91" s="184"/>
      <c r="H91" s="184"/>
      <c r="I91" s="184"/>
      <c r="J91" s="185"/>
    </row>
    <row r="92" spans="1:10" ht="43.5" customHeight="1" x14ac:dyDescent="0.25">
      <c r="A92" s="99"/>
      <c r="B92" s="95"/>
      <c r="C92" s="95" t="s">
        <v>152</v>
      </c>
      <c r="D92" s="190" t="s">
        <v>183</v>
      </c>
      <c r="E92" s="190"/>
      <c r="F92" s="190"/>
      <c r="G92" s="190"/>
      <c r="H92" s="190"/>
      <c r="I92" s="190"/>
      <c r="J92" s="191"/>
    </row>
    <row r="93" spans="1:10" ht="43.5" customHeight="1" x14ac:dyDescent="0.25">
      <c r="A93" s="99"/>
      <c r="B93" s="95"/>
      <c r="C93" s="95" t="s">
        <v>152</v>
      </c>
      <c r="D93" s="190" t="s">
        <v>184</v>
      </c>
      <c r="E93" s="190"/>
      <c r="F93" s="190"/>
      <c r="G93" s="190"/>
      <c r="H93" s="190"/>
      <c r="I93" s="190"/>
      <c r="J93" s="191"/>
    </row>
    <row r="94" spans="1:10" ht="14.45" customHeight="1" x14ac:dyDescent="0.25">
      <c r="A94" s="102"/>
      <c r="B94" s="95" t="s">
        <v>149</v>
      </c>
      <c r="C94" s="184" t="s">
        <v>185</v>
      </c>
      <c r="D94" s="184"/>
      <c r="E94" s="184"/>
      <c r="F94" s="184"/>
      <c r="G94" s="184"/>
      <c r="H94" s="184"/>
      <c r="I94" s="184"/>
      <c r="J94" s="185"/>
    </row>
    <row r="95" spans="1:10" ht="43.5" customHeight="1" x14ac:dyDescent="0.25">
      <c r="A95" s="99"/>
      <c r="B95" s="95"/>
      <c r="C95" s="95" t="s">
        <v>152</v>
      </c>
      <c r="D95" s="190" t="s">
        <v>186</v>
      </c>
      <c r="E95" s="190"/>
      <c r="F95" s="190"/>
      <c r="G95" s="190"/>
      <c r="H95" s="190"/>
      <c r="I95" s="190"/>
      <c r="J95" s="191"/>
    </row>
    <row r="96" spans="1:10" ht="14.45" customHeight="1" x14ac:dyDescent="0.25">
      <c r="A96" s="186"/>
      <c r="B96" s="187"/>
      <c r="C96" s="187"/>
      <c r="D96" s="187"/>
      <c r="E96" s="187"/>
      <c r="F96" s="187"/>
      <c r="G96" s="187"/>
      <c r="H96" s="187"/>
      <c r="I96" s="187"/>
      <c r="J96" s="188"/>
    </row>
    <row r="97" spans="1:10" ht="26.25" x14ac:dyDescent="0.4">
      <c r="A97" s="200" t="s">
        <v>187</v>
      </c>
      <c r="B97" s="201"/>
      <c r="C97" s="201"/>
      <c r="D97" s="201"/>
      <c r="E97" s="201"/>
      <c r="F97" s="201"/>
      <c r="G97" s="201"/>
      <c r="H97" s="201"/>
      <c r="I97" s="201"/>
      <c r="J97" s="202"/>
    </row>
    <row r="98" spans="1:10" ht="14.45" customHeight="1" x14ac:dyDescent="0.25">
      <c r="A98" s="99"/>
      <c r="B98" s="94" t="s">
        <v>149</v>
      </c>
      <c r="C98" s="196" t="s">
        <v>188</v>
      </c>
      <c r="D98" s="196"/>
      <c r="E98" s="196"/>
      <c r="F98" s="196"/>
      <c r="G98" s="196"/>
      <c r="H98" s="196"/>
      <c r="I98" s="196"/>
      <c r="J98" s="197"/>
    </row>
    <row r="99" spans="1:10" ht="14.45" customHeight="1" thickBot="1" x14ac:dyDescent="0.3">
      <c r="A99" s="103"/>
      <c r="B99" s="104" t="s">
        <v>149</v>
      </c>
      <c r="C99" s="198" t="s">
        <v>235</v>
      </c>
      <c r="D99" s="198"/>
      <c r="E99" s="198"/>
      <c r="F99" s="198"/>
      <c r="G99" s="198"/>
      <c r="H99" s="198"/>
      <c r="I99" s="198"/>
      <c r="J99" s="199"/>
    </row>
  </sheetData>
  <sheetProtection sheet="1" formatColumns="0" formatRows="0"/>
  <mergeCells count="99">
    <mergeCell ref="A13:J13"/>
    <mergeCell ref="A2:J2"/>
    <mergeCell ref="A3:J3"/>
    <mergeCell ref="A5:J5"/>
    <mergeCell ref="A4:J4"/>
    <mergeCell ref="A7:J7"/>
    <mergeCell ref="A8:J8"/>
    <mergeCell ref="A9:J9"/>
    <mergeCell ref="A10:J10"/>
    <mergeCell ref="A11:J11"/>
    <mergeCell ref="A12:J12"/>
    <mergeCell ref="A6:J6"/>
    <mergeCell ref="A20:J20"/>
    <mergeCell ref="A21:J21"/>
    <mergeCell ref="A22:J22"/>
    <mergeCell ref="A24:J24"/>
    <mergeCell ref="A14:J14"/>
    <mergeCell ref="A15:J15"/>
    <mergeCell ref="A16:J16"/>
    <mergeCell ref="A17:J17"/>
    <mergeCell ref="A18:J18"/>
    <mergeCell ref="A19:J19"/>
    <mergeCell ref="D52:J52"/>
    <mergeCell ref="A53:J53"/>
    <mergeCell ref="A56:J56"/>
    <mergeCell ref="A58:J58"/>
    <mergeCell ref="A37:J37"/>
    <mergeCell ref="A38:J38"/>
    <mergeCell ref="A40:J40"/>
    <mergeCell ref="A41:J41"/>
    <mergeCell ref="A54:J54"/>
    <mergeCell ref="D44:J44"/>
    <mergeCell ref="A46:J46"/>
    <mergeCell ref="C42:J42"/>
    <mergeCell ref="D51:J51"/>
    <mergeCell ref="A39:J39"/>
    <mergeCell ref="A47:J47"/>
    <mergeCell ref="C43:J43"/>
    <mergeCell ref="A77:J77"/>
    <mergeCell ref="A79:J79"/>
    <mergeCell ref="A78:J78"/>
    <mergeCell ref="A55:J55"/>
    <mergeCell ref="A57:J57"/>
    <mergeCell ref="A60:J60"/>
    <mergeCell ref="A62:J62"/>
    <mergeCell ref="A65:J65"/>
    <mergeCell ref="A71:J71"/>
    <mergeCell ref="A73:J73"/>
    <mergeCell ref="A70:J70"/>
    <mergeCell ref="A72:J72"/>
    <mergeCell ref="A74:J74"/>
    <mergeCell ref="A66:J66"/>
    <mergeCell ref="A68:J68"/>
    <mergeCell ref="A69:J69"/>
    <mergeCell ref="A26:J26"/>
    <mergeCell ref="B23:J23"/>
    <mergeCell ref="B25:J25"/>
    <mergeCell ref="B27:J27"/>
    <mergeCell ref="B31:J31"/>
    <mergeCell ref="B33:J33"/>
    <mergeCell ref="C28:J28"/>
    <mergeCell ref="C29:J29"/>
    <mergeCell ref="A36:J36"/>
    <mergeCell ref="A34:J34"/>
    <mergeCell ref="B35:J35"/>
    <mergeCell ref="A32:J32"/>
    <mergeCell ref="A30:J30"/>
    <mergeCell ref="C98:J98"/>
    <mergeCell ref="C99:J99"/>
    <mergeCell ref="A80:J80"/>
    <mergeCell ref="A76:J76"/>
    <mergeCell ref="A81:J81"/>
    <mergeCell ref="A83:J83"/>
    <mergeCell ref="C86:J86"/>
    <mergeCell ref="C87:J87"/>
    <mergeCell ref="D92:J92"/>
    <mergeCell ref="D93:J93"/>
    <mergeCell ref="D95:J95"/>
    <mergeCell ref="A97:J97"/>
    <mergeCell ref="A82:J82"/>
    <mergeCell ref="A84:J84"/>
    <mergeCell ref="A85:J85"/>
    <mergeCell ref="A89:J89"/>
    <mergeCell ref="A1:J1"/>
    <mergeCell ref="A90:J90"/>
    <mergeCell ref="C91:J91"/>
    <mergeCell ref="C94:J94"/>
    <mergeCell ref="A96:J96"/>
    <mergeCell ref="A88:J88"/>
    <mergeCell ref="C45:J45"/>
    <mergeCell ref="A48:J48"/>
    <mergeCell ref="C49:J49"/>
    <mergeCell ref="C50:J50"/>
    <mergeCell ref="A75:J75"/>
    <mergeCell ref="A59:J59"/>
    <mergeCell ref="A61:J61"/>
    <mergeCell ref="A63:J63"/>
    <mergeCell ref="A64:J64"/>
    <mergeCell ref="A67:J67"/>
  </mergeCells>
  <hyperlinks>
    <hyperlink ref="A5:J5" r:id="rId1" display="This tool is supplemental to the System Modeling Assumptions Guide and is used to gather cost data and develop an estimated Annual Cost Per Unit for a Model project type which can be input into Stella M. Stella M uses project cost estimates along with other assumptions to estimate system costs. This calculator helps communities evaluate the financial resources needed to address homelessness by using the costs of current projects to estimate costs of ideal project types. " xr:uid="{7F6056BD-69F4-48FC-B086-7373266A48E9}"/>
    <hyperlink ref="A7:J7" r:id="rId2" display="Users are strongly encouraged to use this tool in tandem with the Project Matrix Worksheet. This workbook may only be used to evaluate one project type at a time. For users evaluating multiple project types, each different project type will require the user to start over with a new blank workbook." xr:uid="{35D3DAFC-FF5B-4D26-BB4C-116B8C936CEF}"/>
    <hyperlink ref="C98" r:id="rId3" display="https://mcas-proxyweb.mcas.ms/certificate-checker?login=false&amp;originalUrl=https%3A%2F%2Fwww.hudexchange.info.mcas.ms%2Fprograms%2Fcoc%2Fcoc-program-eligibility-requirements%2F%3FMcasTsid%3D20892&amp;McasCSRF=5d6c314414a9f78f221c7af18135a5eecca7e5cff765af0fffc736dde66d1848" xr:uid="{A36304B8-8474-428F-85C7-92635A14257C}"/>
    <hyperlink ref="C99" r:id="rId4" display="https://mcas-proxyweb.mcas.ms/certificate-checker?login=false&amp;originalUrl=https%3A%2F%2Fwww.hudexchange.info.mcas.ms%2Fresource%2F6109%2Fcovid19-homeless-system-response-case-management-ratios%2F%3FMcasTsid%3D20892&amp;McasCSRF=5d6c314414a9f78f221c7af18135a5eecca7e5cff765af0fffc736dde66d1848" xr:uid="{513594D1-D09A-4ADF-96D7-28C267822D57}"/>
    <hyperlink ref="B23:J23" r:id="rId5" display="Use the calculator On the Model Project Type tab, enter project type information from the Project Matrix Worksheet in Table 1: Model Project Type Details. Use this workbook for only one project type at a time. To estimate costs of another project type, start over with a new blank workbook. See the Example Model Project Type tab. " xr:uid="{987B8091-AE9D-4886-91D0-C6E805BD944B}"/>
    <hyperlink ref="B35:J35" r:id="rId6" display="Enter the resulting annual per unit project costs in Stella M (see the Stella M User Guide for more information).  " xr:uid="{07F5A5AC-F3A0-45FD-98EE-88226040437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D297F-D7B0-4985-ACAE-9F9F47206ECF}">
  <sheetPr>
    <tabColor theme="8" tint="0.79998168889431442"/>
  </sheetPr>
  <dimension ref="A2:I134"/>
  <sheetViews>
    <sheetView showGridLines="0" zoomScaleNormal="100" workbookViewId="0">
      <selection activeCell="G18" sqref="G18"/>
    </sheetView>
  </sheetViews>
  <sheetFormatPr defaultColWidth="8.7109375" defaultRowHeight="15" outlineLevelRow="1" x14ac:dyDescent="0.25"/>
  <cols>
    <col min="1" max="1" width="27.140625" style="3" customWidth="1"/>
    <col min="2" max="2" width="21.140625" customWidth="1"/>
    <col min="3" max="3" width="18.5703125" customWidth="1"/>
    <col min="4" max="5" width="14.42578125" customWidth="1"/>
    <col min="6" max="6" width="22.85546875" style="128" customWidth="1"/>
    <col min="7" max="7" width="13.5703125" style="128" customWidth="1"/>
    <col min="8" max="8" width="13.140625" customWidth="1"/>
    <col min="9" max="9" width="10.5703125" customWidth="1"/>
    <col min="10" max="10" width="10.42578125" customWidth="1"/>
    <col min="11" max="11" width="22.5703125" customWidth="1"/>
    <col min="12" max="12" width="14.85546875" customWidth="1"/>
  </cols>
  <sheetData>
    <row r="2" spans="1:8" ht="26.25" x14ac:dyDescent="0.4">
      <c r="A2" s="288" t="str">
        <f>CONCATENATE("Comparable Projects for ", 'Model Project Type'!D10, " Cost Assumptions")</f>
        <v>Comparable Projects for  Cost Assumptions</v>
      </c>
      <c r="B2" s="288"/>
      <c r="C2" s="288"/>
      <c r="D2" s="288"/>
      <c r="E2" s="288"/>
      <c r="F2" s="288"/>
      <c r="G2" s="288"/>
      <c r="H2" s="288"/>
    </row>
    <row r="3" spans="1:8" ht="19.5" customHeight="1" x14ac:dyDescent="0.25"/>
    <row r="4" spans="1:8" ht="26.1" customHeight="1" x14ac:dyDescent="0.4">
      <c r="A4" s="273" t="s">
        <v>1</v>
      </c>
      <c r="B4" s="273"/>
      <c r="C4" s="273"/>
      <c r="D4" s="273"/>
    </row>
    <row r="5" spans="1:8" ht="30.6" customHeight="1" x14ac:dyDescent="0.25">
      <c r="A5" s="292" t="s">
        <v>109</v>
      </c>
      <c r="B5" s="292"/>
      <c r="C5" s="293" t="str">
        <f>IF('Model Project Type'!D10 = 0, " ", 'Model Project Type'!D10)</f>
        <v xml:space="preserve"> </v>
      </c>
      <c r="D5" s="293"/>
    </row>
    <row r="6" spans="1:8" ht="20.100000000000001" customHeight="1" x14ac:dyDescent="0.25">
      <c r="A6"/>
      <c r="F6"/>
      <c r="G6"/>
    </row>
    <row r="7" spans="1:8" ht="26.1" customHeight="1" x14ac:dyDescent="0.4">
      <c r="A7" s="273" t="s">
        <v>35</v>
      </c>
      <c r="B7" s="273"/>
      <c r="C7" s="273"/>
      <c r="D7" s="273"/>
    </row>
    <row r="8" spans="1:8" ht="5.45" customHeight="1" x14ac:dyDescent="0.4">
      <c r="A8" s="36"/>
      <c r="B8" s="36"/>
      <c r="C8" s="36"/>
      <c r="D8" s="36"/>
      <c r="F8" s="129"/>
      <c r="G8" s="129"/>
    </row>
    <row r="9" spans="1:8" ht="20.100000000000001" customHeight="1" x14ac:dyDescent="0.25">
      <c r="A9" s="289" t="s">
        <v>36</v>
      </c>
      <c r="B9" s="289"/>
      <c r="C9" s="289"/>
      <c r="D9" s="289"/>
      <c r="F9" s="308" t="s">
        <v>37</v>
      </c>
      <c r="G9" s="308"/>
    </row>
    <row r="10" spans="1:8" ht="19.7" customHeight="1" x14ac:dyDescent="0.25">
      <c r="A10" s="290" t="s">
        <v>38</v>
      </c>
      <c r="B10" s="290"/>
      <c r="C10" s="311"/>
      <c r="D10" s="311"/>
      <c r="F10" s="108" t="s">
        <v>68</v>
      </c>
      <c r="G10" s="111">
        <f>H129</f>
        <v>0</v>
      </c>
    </row>
    <row r="11" spans="1:8" ht="19.7" customHeight="1" x14ac:dyDescent="0.25">
      <c r="A11" s="286" t="s">
        <v>39</v>
      </c>
      <c r="B11" s="286"/>
      <c r="C11" s="310"/>
      <c r="D11" s="310"/>
      <c r="F11" s="108" t="s">
        <v>63</v>
      </c>
      <c r="G11" s="111">
        <f>H130</f>
        <v>0</v>
      </c>
    </row>
    <row r="12" spans="1:8" ht="19.7" customHeight="1" x14ac:dyDescent="0.25">
      <c r="A12" s="287" t="s">
        <v>40</v>
      </c>
      <c r="B12" s="287"/>
      <c r="C12" s="307"/>
      <c r="D12" s="307"/>
      <c r="F12" s="108" t="s">
        <v>58</v>
      </c>
      <c r="G12" s="111">
        <f>H131</f>
        <v>0</v>
      </c>
    </row>
    <row r="13" spans="1:8" ht="19.7" customHeight="1" thickBot="1" x14ac:dyDescent="0.3">
      <c r="A13" s="286" t="s">
        <v>41</v>
      </c>
      <c r="B13" s="286"/>
      <c r="C13" s="307"/>
      <c r="D13" s="307"/>
      <c r="F13" s="114" t="s">
        <v>207</v>
      </c>
      <c r="G13" s="117">
        <f>H132</f>
        <v>0</v>
      </c>
    </row>
    <row r="14" spans="1:8" ht="19.7" customHeight="1" thickTop="1" thickBot="1" x14ac:dyDescent="0.3">
      <c r="A14" s="7"/>
      <c r="B14" s="40"/>
      <c r="C14" s="35"/>
      <c r="D14" s="34"/>
      <c r="F14" s="130" t="s">
        <v>42</v>
      </c>
      <c r="G14" s="117">
        <f>H133</f>
        <v>0</v>
      </c>
    </row>
    <row r="15" spans="1:8" ht="19.7" customHeight="1" thickTop="1" x14ac:dyDescent="0.25">
      <c r="A15" s="280" t="s">
        <v>43</v>
      </c>
      <c r="B15" s="280"/>
      <c r="C15" s="280"/>
      <c r="D15" s="280"/>
    </row>
    <row r="16" spans="1:8" ht="44.45" customHeight="1" x14ac:dyDescent="0.25">
      <c r="A16" s="281" t="s">
        <v>44</v>
      </c>
      <c r="B16" s="282"/>
      <c r="C16" s="282"/>
      <c r="D16" s="282"/>
    </row>
    <row r="17" spans="1:9" ht="18.600000000000001" customHeight="1" x14ac:dyDescent="0.25">
      <c r="A17" s="283" t="s">
        <v>45</v>
      </c>
      <c r="B17" s="283"/>
      <c r="C17" s="309"/>
      <c r="D17" s="309"/>
    </row>
    <row r="18" spans="1:9" ht="44.45" customHeight="1" x14ac:dyDescent="0.25">
      <c r="A18" s="275" t="s">
        <v>46</v>
      </c>
      <c r="B18" s="275"/>
      <c r="C18" s="310"/>
      <c r="D18" s="310"/>
    </row>
    <row r="19" spans="1:9" ht="44.45" customHeight="1" x14ac:dyDescent="0.25">
      <c r="A19" s="275" t="s">
        <v>47</v>
      </c>
      <c r="B19" s="275"/>
      <c r="C19" s="307"/>
      <c r="D19" s="307"/>
    </row>
    <row r="20" spans="1:9" ht="14.1" customHeight="1" x14ac:dyDescent="0.25">
      <c r="A20" s="33"/>
      <c r="B20" s="33"/>
      <c r="C20" s="39"/>
      <c r="D20" s="35"/>
    </row>
    <row r="21" spans="1:9" ht="17.45" customHeight="1" x14ac:dyDescent="0.25">
      <c r="A21" s="4"/>
      <c r="B21" s="4"/>
      <c r="C21" s="35"/>
      <c r="D21" s="35"/>
    </row>
    <row r="22" spans="1:9" ht="21" customHeight="1" x14ac:dyDescent="0.4">
      <c r="A22" s="277" t="s">
        <v>48</v>
      </c>
      <c r="B22" s="277"/>
      <c r="C22" s="277"/>
      <c r="D22" s="277"/>
      <c r="E22" s="277"/>
      <c r="F22" s="277"/>
      <c r="G22" s="277"/>
      <c r="H22" s="277"/>
    </row>
    <row r="23" spans="1:9" ht="6.6" customHeight="1" x14ac:dyDescent="0.25">
      <c r="A23" s="32"/>
      <c r="B23" s="30"/>
      <c r="C23" s="30"/>
      <c r="D23" s="30"/>
      <c r="F23" s="129"/>
      <c r="G23" s="129"/>
    </row>
    <row r="24" spans="1:9" x14ac:dyDescent="0.25">
      <c r="A24" s="274" t="s">
        <v>49</v>
      </c>
      <c r="B24" s="274"/>
      <c r="C24" s="274"/>
      <c r="D24" s="274"/>
      <c r="E24" s="274"/>
      <c r="F24" s="274"/>
      <c r="G24" s="274"/>
      <c r="H24" s="274"/>
    </row>
    <row r="25" spans="1:9" ht="30.75" customHeight="1" outlineLevel="1" x14ac:dyDescent="0.25">
      <c r="A25" s="294" t="s">
        <v>50</v>
      </c>
      <c r="B25" s="294"/>
      <c r="C25" s="294"/>
      <c r="D25" s="294"/>
      <c r="E25" s="294"/>
      <c r="F25" s="294"/>
      <c r="G25" s="294"/>
      <c r="H25" s="294"/>
    </row>
    <row r="26" spans="1:9" s="3" customFormat="1" ht="28.35" customHeight="1" x14ac:dyDescent="0.25">
      <c r="A26" s="131" t="s">
        <v>51</v>
      </c>
      <c r="B26" s="131" t="s">
        <v>52</v>
      </c>
      <c r="C26" s="131" t="s">
        <v>53</v>
      </c>
      <c r="D26" s="131" t="s">
        <v>54</v>
      </c>
      <c r="E26" s="131" t="s">
        <v>55</v>
      </c>
      <c r="F26" s="131" t="s">
        <v>56</v>
      </c>
      <c r="G26" s="131" t="s">
        <v>57</v>
      </c>
      <c r="H26" s="132" t="s">
        <v>20</v>
      </c>
    </row>
    <row r="27" spans="1:9" x14ac:dyDescent="0.25">
      <c r="A27" s="75"/>
      <c r="B27" s="76"/>
      <c r="C27" s="77"/>
      <c r="D27" s="78"/>
      <c r="E27" s="79"/>
      <c r="F27" s="79"/>
      <c r="G27" s="53" t="e" cm="1">
        <f t="array" ref="G27">_xlfn.IFS(Administrative1766717681869196101106111116123128133138143148153158519621263136[[#This Row],[Unit]]="Program-wide",((_xlfn.IFS(Administrative1766717681869196101106111116123128133138143148153158519621263136[[#This Row],[Frequency]]="Per Year",Administrative1766717681869196101106111116123128133138143148153158519621263136[[#This Row],[Cost]]/12,Administrative1766717681869196101106111116123128133138143148153158519621263136[[#This Row],[Frequency]]="Per month",Administrative1766717681869196101106111116123128133138143148153158519621263136[[#This Row],[Cost]],Administrative1766717681869196101106111116123128133138143148153158519621263136[[#This Row],[Frequency]]="Per day",Administrative1766717681869196101106111116123128133138143148153158519621263136[[#This Row],[Cost]]*30,Administrative1766717681869196101106111116123128133138143148153158519621263136[[#This Row],[Frequency]]="One-time",Administrative1766717681869196101106111116123128133138143148153158519621263136[[#This Row],[Cost]]/SUM(C18,C19)))/$C$17),Administrative1766717681869196101106111116123128133138143148153158519621263136[[#This Row],[Unit]]="Per unit/space/household",(_xlfn.IFS(Administrative1766717681869196101106111116123128133138143148153158519621263136[[#This Row],[Frequency]]="Per Year",Administrative1766717681869196101106111116123128133138143148153158519621263136[[#This Row],[Cost]]/12,Administrative1766717681869196101106111116123128133138143148153158519621263136[[#This Row],[Frequency]]="Per month",Administrative1766717681869196101106111116123128133138143148153158519621263136[[#This Row],[Cost]],Administrative1766717681869196101106111116123128133138143148153158519621263136[[#This Row],[Frequency]]="Per day",Administrative1766717681869196101106111116123128133138143148153158519621263136[[#This Row],[Cost]]*30,Administrative1766717681869196101106111116123128133138143148153158519621263136[[#This Row],[Frequency]]="One-time",Administrative1766717681869196101106111116123128133138143148153158519621263136[[#This Row],[Cost]]/SUM($C$18,$C$19))))</f>
        <v>#N/A</v>
      </c>
      <c r="H27" s="46" t="e">
        <f>Administrative1766717681869196101106111116123128133138143148153158519621263136[[#This Row],[Monthly Cost Per Unit]]*12</f>
        <v>#N/A</v>
      </c>
    </row>
    <row r="28" spans="1:9" x14ac:dyDescent="0.25">
      <c r="A28" s="75"/>
      <c r="B28" s="76"/>
      <c r="C28" s="77"/>
      <c r="D28" s="78"/>
      <c r="E28" s="79"/>
      <c r="F28" s="79"/>
      <c r="G28" s="53" t="e" cm="1">
        <f t="array" ref="G28">_xlfn.IFS(Administrative1766717681869196101106111116123128133138143148153158519621263136[[#This Row],[Unit]]="Program-wide",((_xlfn.IFS(Administrative1766717681869196101106111116123128133138143148153158519621263136[[#This Row],[Frequency]]="Per Year",Administrative1766717681869196101106111116123128133138143148153158519621263136[[#This Row],[Cost]]/12,Administrative1766717681869196101106111116123128133138143148153158519621263136[[#This Row],[Frequency]]="Per month",Administrative1766717681869196101106111116123128133138143148153158519621263136[[#This Row],[Cost]],Administrative1766717681869196101106111116123128133138143148153158519621263136[[#This Row],[Frequency]]="Per day",Administrative1766717681869196101106111116123128133138143148153158519621263136[[#This Row],[Cost]]*30,Administrative1766717681869196101106111116123128133138143148153158519621263136[[#This Row],[Frequency]]="One-time",Administrative1766717681869196101106111116123128133138143148153158519621263136[[#This Row],[Cost]]/SUM(C18,C19)))/$C$17),Administrative1766717681869196101106111116123128133138143148153158519621263136[[#This Row],[Unit]]="Per unit/space/household",(_xlfn.IFS(Administrative1766717681869196101106111116123128133138143148153158519621263136[[#This Row],[Frequency]]="Per Year",Administrative1766717681869196101106111116123128133138143148153158519621263136[[#This Row],[Cost]]/12,Administrative1766717681869196101106111116123128133138143148153158519621263136[[#This Row],[Frequency]]="Per month",Administrative1766717681869196101106111116123128133138143148153158519621263136[[#This Row],[Cost]],Administrative1766717681869196101106111116123128133138143148153158519621263136[[#This Row],[Frequency]]="Per day",Administrative1766717681869196101106111116123128133138143148153158519621263136[[#This Row],[Cost]]*30,Administrative1766717681869196101106111116123128133138143148153158519621263136[[#This Row],[Frequency]]="One-time",Administrative1766717681869196101106111116123128133138143148153158519621263136[[#This Row],[Cost]]/SUM($C$18,$C$19))))</f>
        <v>#N/A</v>
      </c>
      <c r="H28" s="46" t="e">
        <f>Administrative1766717681869196101106111116123128133138143148153158519621263136[[#This Row],[Monthly Cost Per Unit]]*12</f>
        <v>#N/A</v>
      </c>
    </row>
    <row r="29" spans="1:9" x14ac:dyDescent="0.25">
      <c r="A29" s="75"/>
      <c r="B29" s="76"/>
      <c r="C29" s="77"/>
      <c r="D29" s="78"/>
      <c r="E29" s="79"/>
      <c r="F29" s="79"/>
      <c r="G29" s="53" t="e" cm="1">
        <f t="array" ref="G29">_xlfn.IFS(Administrative1766717681869196101106111116123128133138143148153158519621263136[[#This Row],[Unit]]="Program-wide",((_xlfn.IFS(Administrative1766717681869196101106111116123128133138143148153158519621263136[[#This Row],[Frequency]]="Per Year",Administrative1766717681869196101106111116123128133138143148153158519621263136[[#This Row],[Cost]]/12,Administrative1766717681869196101106111116123128133138143148153158519621263136[[#This Row],[Frequency]]="Per month",Administrative1766717681869196101106111116123128133138143148153158519621263136[[#This Row],[Cost]],Administrative1766717681869196101106111116123128133138143148153158519621263136[[#This Row],[Frequency]]="Per day",Administrative1766717681869196101106111116123128133138143148153158519621263136[[#This Row],[Cost]]*30,Administrative1766717681869196101106111116123128133138143148153158519621263136[[#This Row],[Frequency]]="One-time",Administrative1766717681869196101106111116123128133138143148153158519621263136[[#This Row],[Cost]]/SUM(C18,C19)))/$C$17),Administrative1766717681869196101106111116123128133138143148153158519621263136[[#This Row],[Unit]]="Per unit/space/household",(_xlfn.IFS(Administrative1766717681869196101106111116123128133138143148153158519621263136[[#This Row],[Frequency]]="Per Year",Administrative1766717681869196101106111116123128133138143148153158519621263136[[#This Row],[Cost]]/12,Administrative1766717681869196101106111116123128133138143148153158519621263136[[#This Row],[Frequency]]="Per month",Administrative1766717681869196101106111116123128133138143148153158519621263136[[#This Row],[Cost]],Administrative1766717681869196101106111116123128133138143148153158519621263136[[#This Row],[Frequency]]="Per day",Administrative1766717681869196101106111116123128133138143148153158519621263136[[#This Row],[Cost]]*30,Administrative1766717681869196101106111116123128133138143148153158519621263136[[#This Row],[Frequency]]="One-time",Administrative1766717681869196101106111116123128133138143148153158519621263136[[#This Row],[Cost]]/SUM($C$18,$C$19))))</f>
        <v>#N/A</v>
      </c>
      <c r="H29" s="46" t="e">
        <f>Administrative1766717681869196101106111116123128133138143148153158519621263136[[#This Row],[Monthly Cost Per Unit]]*12</f>
        <v>#N/A</v>
      </c>
    </row>
    <row r="30" spans="1:9" x14ac:dyDescent="0.25">
      <c r="A30" s="75"/>
      <c r="B30" s="76"/>
      <c r="C30" s="77"/>
      <c r="D30" s="78"/>
      <c r="E30" s="79"/>
      <c r="F30" s="79"/>
      <c r="G30" s="53" t="e" cm="1">
        <f t="array" ref="G30">_xlfn.IFS(Administrative1766717681869196101106111116123128133138143148153158519621263136[[#This Row],[Unit]]="Program-wide",((_xlfn.IFS(Administrative1766717681869196101106111116123128133138143148153158519621263136[[#This Row],[Frequency]]="Per Year",Administrative1766717681869196101106111116123128133138143148153158519621263136[[#This Row],[Cost]]/12,Administrative1766717681869196101106111116123128133138143148153158519621263136[[#This Row],[Frequency]]="Per month",Administrative1766717681869196101106111116123128133138143148153158519621263136[[#This Row],[Cost]],Administrative1766717681869196101106111116123128133138143148153158519621263136[[#This Row],[Frequency]]="Per day",Administrative1766717681869196101106111116123128133138143148153158519621263136[[#This Row],[Cost]]*30,Administrative1766717681869196101106111116123128133138143148153158519621263136[[#This Row],[Frequency]]="One-time",Administrative1766717681869196101106111116123128133138143148153158519621263136[[#This Row],[Cost]]/SUM(C18,C19)))/$C$17),Administrative1766717681869196101106111116123128133138143148153158519621263136[[#This Row],[Unit]]="Per unit/space/household",(_xlfn.IFS(Administrative1766717681869196101106111116123128133138143148153158519621263136[[#This Row],[Frequency]]="Per Year",Administrative1766717681869196101106111116123128133138143148153158519621263136[[#This Row],[Cost]]/12,Administrative1766717681869196101106111116123128133138143148153158519621263136[[#This Row],[Frequency]]="Per month",Administrative1766717681869196101106111116123128133138143148153158519621263136[[#This Row],[Cost]],Administrative1766717681869196101106111116123128133138143148153158519621263136[[#This Row],[Frequency]]="Per day",Administrative1766717681869196101106111116123128133138143148153158519621263136[[#This Row],[Cost]]*30,Administrative1766717681869196101106111116123128133138143148153158519621263136[[#This Row],[Frequency]]="One-time",Administrative1766717681869196101106111116123128133138143148153158519621263136[[#This Row],[Cost]]/SUM($C$18,$C$19))))</f>
        <v>#N/A</v>
      </c>
      <c r="H30" s="46" t="e">
        <f>Administrative1766717681869196101106111116123128133138143148153158519621263136[[#This Row],[Monthly Cost Per Unit]]*12</f>
        <v>#N/A</v>
      </c>
    </row>
    <row r="31" spans="1:9" s="1" customFormat="1" x14ac:dyDescent="0.25">
      <c r="A31" s="80"/>
      <c r="B31" s="81"/>
      <c r="C31" s="82"/>
      <c r="D31" s="83"/>
      <c r="E31" s="84"/>
      <c r="F31" s="84"/>
      <c r="G31" s="54" t="e" cm="1">
        <f t="array" ref="G31">_xlfn.IFS(Administrative1766717681869196101106111116123128133138143148153158519621263136[[#This Row],[Unit]]="Program-wide",((_xlfn.IFS(Administrative1766717681869196101106111116123128133138143148153158519621263136[[#This Row],[Frequency]]="Per Year",Administrative1766717681869196101106111116123128133138143148153158519621263136[[#This Row],[Cost]]/12,Administrative1766717681869196101106111116123128133138143148153158519621263136[[#This Row],[Frequency]]="Per month",Administrative1766717681869196101106111116123128133138143148153158519621263136[[#This Row],[Cost]],Administrative1766717681869196101106111116123128133138143148153158519621263136[[#This Row],[Frequency]]="Per day",Administrative1766717681869196101106111116123128133138143148153158519621263136[[#This Row],[Cost]]*30,Administrative1766717681869196101106111116123128133138143148153158519621263136[[#This Row],[Frequency]]="One-time",Administrative1766717681869196101106111116123128133138143148153158519621263136[[#This Row],[Cost]]/SUM(C18,C19)))/$C$17),Administrative1766717681869196101106111116123128133138143148153158519621263136[[#This Row],[Unit]]="Per unit/space/household",(_xlfn.IFS(Administrative1766717681869196101106111116123128133138143148153158519621263136[[#This Row],[Frequency]]="Per Year",Administrative1766717681869196101106111116123128133138143148153158519621263136[[#This Row],[Cost]]/12,Administrative1766717681869196101106111116123128133138143148153158519621263136[[#This Row],[Frequency]]="Per month",Administrative1766717681869196101106111116123128133138143148153158519621263136[[#This Row],[Cost]],Administrative1766717681869196101106111116123128133138143148153158519621263136[[#This Row],[Frequency]]="Per day",Administrative1766717681869196101106111116123128133138143148153158519621263136[[#This Row],[Cost]]*30,Administrative1766717681869196101106111116123128133138143148153158519621263136[[#This Row],[Frequency]]="One-time",Administrative1766717681869196101106111116123128133138143148153158519621263136[[#This Row],[Cost]]/SUM($C$18,$C$19))))</f>
        <v>#N/A</v>
      </c>
      <c r="H31" s="46" t="e">
        <f>Administrative1766717681869196101106111116123128133138143148153158519621263136[[#This Row],[Monthly Cost Per Unit]]*12</f>
        <v>#N/A</v>
      </c>
      <c r="I31"/>
    </row>
    <row r="32" spans="1:9" x14ac:dyDescent="0.25">
      <c r="A32" s="107" t="s">
        <v>20</v>
      </c>
      <c r="B32" s="107"/>
      <c r="C32" s="108" t="s">
        <v>68</v>
      </c>
      <c r="D32" s="109"/>
      <c r="E32" s="108"/>
      <c r="F32" s="108"/>
      <c r="G32" s="110"/>
      <c r="H32" s="111">
        <f>(SUMIF(Administrative1766717681869196101106111116123128133138143148153158519621263136[Duration],"While homeless only",Administrative1766717681869196101106111116123128133138143148153158519621263136[Monthly Cost Per Unit]))*12</f>
        <v>0</v>
      </c>
    </row>
    <row r="33" spans="1:8" x14ac:dyDescent="0.25">
      <c r="A33" s="112"/>
      <c r="B33" s="112"/>
      <c r="C33" s="108" t="s">
        <v>63</v>
      </c>
      <c r="D33" s="109"/>
      <c r="E33" s="108"/>
      <c r="F33" s="108"/>
      <c r="G33" s="110"/>
      <c r="H33" s="111">
        <f>(SUMIF(Administrative1766717681869196101106111116123128133138143148153158519621263136[Duration],"While housed only",Administrative1766717681869196101106111116123128133138143148153158519621263136[Monthly Cost Per Unit]))*12</f>
        <v>0</v>
      </c>
    </row>
    <row r="34" spans="1:8" x14ac:dyDescent="0.25">
      <c r="A34" s="112"/>
      <c r="B34" s="112"/>
      <c r="C34" s="108" t="s">
        <v>58</v>
      </c>
      <c r="D34" s="109"/>
      <c r="E34" s="108"/>
      <c r="F34" s="108"/>
      <c r="G34" s="110"/>
      <c r="H34" s="111">
        <f>(SUMIF(Administrative1766717681869196101106111116123128133138143148153158519621263136[Duration],"Homeless &amp; housed",Administrative1766717681869196101106111116123128133138143148153158519621263136[Monthly Cost Per Unit]))*12</f>
        <v>0</v>
      </c>
    </row>
    <row r="35" spans="1:8" ht="15.75" thickBot="1" x14ac:dyDescent="0.3">
      <c r="A35" s="113"/>
      <c r="B35" s="113"/>
      <c r="C35" s="114" t="s">
        <v>207</v>
      </c>
      <c r="D35" s="115"/>
      <c r="E35" s="114"/>
      <c r="F35" s="114"/>
      <c r="G35" s="116"/>
      <c r="H35" s="117">
        <f>(SUMIF(Administrative1766717681869196101106111116123128133138143148153158519621263136[Duration],"N/A",Administrative1766717681869196101106111116123128133138143148153158519621263136[Monthly Cost Per Unit]))*12</f>
        <v>0</v>
      </c>
    </row>
    <row r="36" spans="1:8" ht="16.5" thickTop="1" thickBot="1" x14ac:dyDescent="0.3">
      <c r="A36" s="113"/>
      <c r="B36" s="113"/>
      <c r="C36" s="114" t="s">
        <v>42</v>
      </c>
      <c r="D36" s="115"/>
      <c r="E36" s="114"/>
      <c r="F36" s="114"/>
      <c r="G36" s="133"/>
      <c r="H36" s="117">
        <f>SUM(H32:H35)</f>
        <v>0</v>
      </c>
    </row>
    <row r="37" spans="1:8" ht="15.75" thickTop="1" x14ac:dyDescent="0.25">
      <c r="A37" s="10"/>
      <c r="B37" s="10"/>
      <c r="C37" s="10"/>
      <c r="D37" s="10"/>
      <c r="F37" s="129"/>
      <c r="G37" s="129"/>
    </row>
    <row r="38" spans="1:8" x14ac:dyDescent="0.25">
      <c r="A38" s="274" t="s">
        <v>61</v>
      </c>
      <c r="B38" s="274"/>
      <c r="C38" s="274"/>
      <c r="D38" s="274"/>
      <c r="E38" s="274"/>
      <c r="F38" s="274"/>
      <c r="G38" s="274"/>
      <c r="H38" s="274"/>
    </row>
    <row r="39" spans="1:8" ht="30" customHeight="1" outlineLevel="1" x14ac:dyDescent="0.25">
      <c r="A39" s="294" t="s">
        <v>62</v>
      </c>
      <c r="B39" s="294"/>
      <c r="C39" s="294"/>
      <c r="D39" s="294"/>
      <c r="E39" s="294"/>
      <c r="F39" s="294"/>
      <c r="G39" s="294"/>
      <c r="H39" s="294"/>
    </row>
    <row r="40" spans="1:8" s="3" customFormat="1" ht="28.35" customHeight="1" x14ac:dyDescent="0.25">
      <c r="A40" s="131" t="s">
        <v>51</v>
      </c>
      <c r="B40" s="131" t="s">
        <v>52</v>
      </c>
      <c r="C40" s="131" t="s">
        <v>53</v>
      </c>
      <c r="D40" s="131" t="s">
        <v>54</v>
      </c>
      <c r="E40" s="131" t="s">
        <v>55</v>
      </c>
      <c r="F40" s="131" t="s">
        <v>56</v>
      </c>
      <c r="G40" s="131" t="s">
        <v>57</v>
      </c>
      <c r="H40" s="132" t="s">
        <v>20</v>
      </c>
    </row>
    <row r="41" spans="1:8" x14ac:dyDescent="0.25">
      <c r="A41" s="75"/>
      <c r="B41" s="76"/>
      <c r="C41" s="88"/>
      <c r="D41" s="89"/>
      <c r="E41" s="79"/>
      <c r="F41" s="79"/>
      <c r="G41" s="53" t="e" cm="1">
        <f t="array" ref="G41">_xlfn.IFS(Operations1867727782879297102107112117124129134139144149154159529722273237[[#This Row],[Unit]]="Program-wide",((_xlfn.IFS(Operations1867727782879297102107112117124129134139144149154159529722273237[[#This Row],[Frequency]]="Per Year",Operations1867727782879297102107112117124129134139144149154159529722273237[[#This Row],[Cost]]/12,Operations1867727782879297102107112117124129134139144149154159529722273237[[#This Row],[Frequency]]="Per month",Operations1867727782879297102107112117124129134139144149154159529722273237[[#This Row],[Cost]],Operations1867727782879297102107112117124129134139144149154159529722273237[[#This Row],[Frequency]]="Per day",Operations1867727782879297102107112117124129134139144149154159529722273237[[#This Row],[Cost]]*30,Operations1867727782879297102107112117124129134139144149154159529722273237[[#This Row],[Frequency]]="One-time",Operations1867727782879297102107112117124129134139144149154159529722273237[[#This Row],[Cost]]/SUM(C18,C19)))/$C$17),Operations1867727782879297102107112117124129134139144149154159529722273237[[#This Row],[Unit]]="Per unit/space/household",(_xlfn.IFS(Operations1867727782879297102107112117124129134139144149154159529722273237[[#This Row],[Frequency]]="Per Year",Operations1867727782879297102107112117124129134139144149154159529722273237[[#This Row],[Cost]]/12,Operations1867727782879297102107112117124129134139144149154159529722273237[[#This Row],[Frequency]]="Per month",Operations1867727782879297102107112117124129134139144149154159529722273237[[#This Row],[Cost]],Operations1867727782879297102107112117124129134139144149154159529722273237[[#This Row],[Frequency]]="Per day",Operations1867727782879297102107112117124129134139144149154159529722273237[[#This Row],[Cost]]*30,Operations1867727782879297102107112117124129134139144149154159529722273237[[#This Row],[Frequency]]="One-time",Operations1867727782879297102107112117124129134139144149154159529722273237[[#This Row],[Cost]]/SUM($C$18,$C$19))))</f>
        <v>#N/A</v>
      </c>
      <c r="H41" s="46" t="e">
        <f>Operations1867727782879297102107112117124129134139144149154159529722273237[[#This Row],[Monthly Cost Per Unit]]*12</f>
        <v>#N/A</v>
      </c>
    </row>
    <row r="42" spans="1:8" x14ac:dyDescent="0.25">
      <c r="A42" s="75"/>
      <c r="B42" s="76"/>
      <c r="C42" s="77"/>
      <c r="D42" s="78"/>
      <c r="E42" s="79"/>
      <c r="F42" s="79"/>
      <c r="G42" s="53" t="e" cm="1">
        <f t="array" ref="G42">_xlfn.IFS(Operations1867727782879297102107112117124129134139144149154159529722273237[[#This Row],[Unit]]="Program-wide",((_xlfn.IFS(Operations1867727782879297102107112117124129134139144149154159529722273237[[#This Row],[Frequency]]="Per Year",Operations1867727782879297102107112117124129134139144149154159529722273237[[#This Row],[Cost]]/12,Operations1867727782879297102107112117124129134139144149154159529722273237[[#This Row],[Frequency]]="Per month",Operations1867727782879297102107112117124129134139144149154159529722273237[[#This Row],[Cost]],Operations1867727782879297102107112117124129134139144149154159529722273237[[#This Row],[Frequency]]="Per day",Operations1867727782879297102107112117124129134139144149154159529722273237[[#This Row],[Cost]]*30,Operations1867727782879297102107112117124129134139144149154159529722273237[[#This Row],[Frequency]]="One-time",Operations1867727782879297102107112117124129134139144149154159529722273237[[#This Row],[Cost]]/SUM($C$18,$C$19)))/$C$17),Operations1867727782879297102107112117124129134139144149154159529722273237[[#This Row],[Unit]]="Per unit/space/household",(_xlfn.IFS(Operations1867727782879297102107112117124129134139144149154159529722273237[[#This Row],[Frequency]]="Per Year",Operations1867727782879297102107112117124129134139144149154159529722273237[[#This Row],[Cost]]/12,Operations1867727782879297102107112117124129134139144149154159529722273237[[#This Row],[Frequency]]="Per month",Operations1867727782879297102107112117124129134139144149154159529722273237[[#This Row],[Cost]],Operations1867727782879297102107112117124129134139144149154159529722273237[[#This Row],[Frequency]]="Per day",Operations1867727782879297102107112117124129134139144149154159529722273237[[#This Row],[Cost]]*30,Operations1867727782879297102107112117124129134139144149154159529722273237[[#This Row],[Frequency]]="One-time",Operations1867727782879297102107112117124129134139144149154159529722273237[[#This Row],[Cost]]/SUM($C$18,$C$19))))</f>
        <v>#N/A</v>
      </c>
      <c r="H42" s="46" t="e">
        <f>Operations1867727782879297102107112117124129134139144149154159529722273237[[#This Row],[Monthly Cost Per Unit]]*12</f>
        <v>#N/A</v>
      </c>
    </row>
    <row r="43" spans="1:8" x14ac:dyDescent="0.25">
      <c r="A43" s="75"/>
      <c r="B43" s="76"/>
      <c r="C43" s="77"/>
      <c r="D43" s="78"/>
      <c r="E43" s="79"/>
      <c r="F43" s="79"/>
      <c r="G43" s="53" t="e" cm="1">
        <f t="array" ref="G43">_xlfn.IFS(Operations1867727782879297102107112117124129134139144149154159529722273237[[#This Row],[Unit]]="Program-wide",((_xlfn.IFS(Operations1867727782879297102107112117124129134139144149154159529722273237[[#This Row],[Frequency]]="Per Year",Operations1867727782879297102107112117124129134139144149154159529722273237[[#This Row],[Cost]]/12,Operations1867727782879297102107112117124129134139144149154159529722273237[[#This Row],[Frequency]]="Per month",Operations1867727782879297102107112117124129134139144149154159529722273237[[#This Row],[Cost]],Operations1867727782879297102107112117124129134139144149154159529722273237[[#This Row],[Frequency]]="Per day",Operations1867727782879297102107112117124129134139144149154159529722273237[[#This Row],[Cost]]*30,Operations1867727782879297102107112117124129134139144149154159529722273237[[#This Row],[Frequency]]="One-time",Operations1867727782879297102107112117124129134139144149154159529722273237[[#This Row],[Cost]]/SUM($C$18,$C$19)))/$C$17),Operations1867727782879297102107112117124129134139144149154159529722273237[[#This Row],[Unit]]="Per unit/space/household",(_xlfn.IFS(Operations1867727782879297102107112117124129134139144149154159529722273237[[#This Row],[Frequency]]="Per Year",Operations1867727782879297102107112117124129134139144149154159529722273237[[#This Row],[Cost]]/12,Operations1867727782879297102107112117124129134139144149154159529722273237[[#This Row],[Frequency]]="Per month",Operations1867727782879297102107112117124129134139144149154159529722273237[[#This Row],[Cost]],Operations1867727782879297102107112117124129134139144149154159529722273237[[#This Row],[Frequency]]="Per day",Operations1867727782879297102107112117124129134139144149154159529722273237[[#This Row],[Cost]]*30,Operations1867727782879297102107112117124129134139144149154159529722273237[[#This Row],[Frequency]]="One-time",Operations1867727782879297102107112117124129134139144149154159529722273237[[#This Row],[Cost]]/SUM($C$18,$C$19))))</f>
        <v>#N/A</v>
      </c>
      <c r="H43" s="46" t="e">
        <f>Operations1867727782879297102107112117124129134139144149154159529722273237[[#This Row],[Monthly Cost Per Unit]]*12</f>
        <v>#N/A</v>
      </c>
    </row>
    <row r="44" spans="1:8" x14ac:dyDescent="0.25">
      <c r="A44" s="75"/>
      <c r="B44" s="76"/>
      <c r="C44" s="77"/>
      <c r="D44" s="78"/>
      <c r="E44" s="79"/>
      <c r="F44" s="79"/>
      <c r="G44" s="53" t="e" cm="1">
        <f t="array" ref="G44">_xlfn.IFS(Operations1867727782879297102107112117124129134139144149154159529722273237[[#This Row],[Unit]]="Program-wide",((_xlfn.IFS(Operations1867727782879297102107112117124129134139144149154159529722273237[[#This Row],[Frequency]]="Per Year",Operations1867727782879297102107112117124129134139144149154159529722273237[[#This Row],[Cost]]/12,Operations1867727782879297102107112117124129134139144149154159529722273237[[#This Row],[Frequency]]="Per month",Operations1867727782879297102107112117124129134139144149154159529722273237[[#This Row],[Cost]],Operations1867727782879297102107112117124129134139144149154159529722273237[[#This Row],[Frequency]]="Per day",Operations1867727782879297102107112117124129134139144149154159529722273237[[#This Row],[Cost]]*30,Operations1867727782879297102107112117124129134139144149154159529722273237[[#This Row],[Frequency]]="One-time",Operations1867727782879297102107112117124129134139144149154159529722273237[[#This Row],[Cost]]/SUM($C$18,$C$19)))/$C$17),Operations1867727782879297102107112117124129134139144149154159529722273237[[#This Row],[Unit]]="Per unit/space/household",(_xlfn.IFS(Operations1867727782879297102107112117124129134139144149154159529722273237[[#This Row],[Frequency]]="Per Year",Operations1867727782879297102107112117124129134139144149154159529722273237[[#This Row],[Cost]]/12,Operations1867727782879297102107112117124129134139144149154159529722273237[[#This Row],[Frequency]]="Per month",Operations1867727782879297102107112117124129134139144149154159529722273237[[#This Row],[Cost]],Operations1867727782879297102107112117124129134139144149154159529722273237[[#This Row],[Frequency]]="Per day",Operations1867727782879297102107112117124129134139144149154159529722273237[[#This Row],[Cost]]*30,Operations1867727782879297102107112117124129134139144149154159529722273237[[#This Row],[Frequency]]="One-time",Operations1867727782879297102107112117124129134139144149154159529722273237[[#This Row],[Cost]]/SUM($C$18,$C$19))))</f>
        <v>#N/A</v>
      </c>
      <c r="H44" s="46" t="e">
        <f>Operations1867727782879297102107112117124129134139144149154159529722273237[[#This Row],[Monthly Cost Per Unit]]*12</f>
        <v>#N/A</v>
      </c>
    </row>
    <row r="45" spans="1:8" x14ac:dyDescent="0.25">
      <c r="A45" s="75"/>
      <c r="B45" s="76"/>
      <c r="C45" s="77"/>
      <c r="D45" s="78"/>
      <c r="E45" s="79"/>
      <c r="F45" s="79"/>
      <c r="G45" s="53" t="e" cm="1">
        <f t="array" ref="G45">_xlfn.IFS(Operations1867727782879297102107112117124129134139144149154159529722273237[[#This Row],[Unit]]="Program-wide",((_xlfn.IFS(Operations1867727782879297102107112117124129134139144149154159529722273237[[#This Row],[Frequency]]="Per Year",Operations1867727782879297102107112117124129134139144149154159529722273237[[#This Row],[Cost]]/12,Operations1867727782879297102107112117124129134139144149154159529722273237[[#This Row],[Frequency]]="Per month",Operations1867727782879297102107112117124129134139144149154159529722273237[[#This Row],[Cost]],Operations1867727782879297102107112117124129134139144149154159529722273237[[#This Row],[Frequency]]="Per day",Operations1867727782879297102107112117124129134139144149154159529722273237[[#This Row],[Cost]]*30,Operations1867727782879297102107112117124129134139144149154159529722273237[[#This Row],[Frequency]]="One-time",Operations1867727782879297102107112117124129134139144149154159529722273237[[#This Row],[Cost]]/SUM($C$18,$C$19)))/$C$17),Operations1867727782879297102107112117124129134139144149154159529722273237[[#This Row],[Unit]]="Per unit/space/household",(_xlfn.IFS(Operations1867727782879297102107112117124129134139144149154159529722273237[[#This Row],[Frequency]]="Per Year",Operations1867727782879297102107112117124129134139144149154159529722273237[[#This Row],[Cost]]/12,Operations1867727782879297102107112117124129134139144149154159529722273237[[#This Row],[Frequency]]="Per month",Operations1867727782879297102107112117124129134139144149154159529722273237[[#This Row],[Cost]],Operations1867727782879297102107112117124129134139144149154159529722273237[[#This Row],[Frequency]]="Per day",Operations1867727782879297102107112117124129134139144149154159529722273237[[#This Row],[Cost]]*30,Operations1867727782879297102107112117124129134139144149154159529722273237[[#This Row],[Frequency]]="One-time",Operations1867727782879297102107112117124129134139144149154159529722273237[[#This Row],[Cost]]/SUM($C$18,$C$19))))</f>
        <v>#N/A</v>
      </c>
      <c r="H45" s="46" t="e">
        <f>Operations1867727782879297102107112117124129134139144149154159529722273237[[#This Row],[Monthly Cost Per Unit]]*12</f>
        <v>#N/A</v>
      </c>
    </row>
    <row r="46" spans="1:8" x14ac:dyDescent="0.25">
      <c r="A46" s="75"/>
      <c r="B46" s="76"/>
      <c r="C46" s="77"/>
      <c r="D46" s="78"/>
      <c r="E46" s="79"/>
      <c r="F46" s="79"/>
      <c r="G46" s="53" t="e" cm="1">
        <f t="array" ref="G46">_xlfn.IFS(Operations1867727782879297102107112117124129134139144149154159529722273237[[#This Row],[Unit]]="Program-wide",((_xlfn.IFS(Operations1867727782879297102107112117124129134139144149154159529722273237[[#This Row],[Frequency]]="Per Year",Operations1867727782879297102107112117124129134139144149154159529722273237[[#This Row],[Cost]]/12,Operations1867727782879297102107112117124129134139144149154159529722273237[[#This Row],[Frequency]]="Per month",Operations1867727782879297102107112117124129134139144149154159529722273237[[#This Row],[Cost]],Operations1867727782879297102107112117124129134139144149154159529722273237[[#This Row],[Frequency]]="Per day",Operations1867727782879297102107112117124129134139144149154159529722273237[[#This Row],[Cost]]*30,Operations1867727782879297102107112117124129134139144149154159529722273237[[#This Row],[Frequency]]="One-time",Operations1867727782879297102107112117124129134139144149154159529722273237[[#This Row],[Cost]]/SUM($C$18,$C$19)))/$C$17),Operations1867727782879297102107112117124129134139144149154159529722273237[[#This Row],[Unit]]="Per unit/space/household",(_xlfn.IFS(Operations1867727782879297102107112117124129134139144149154159529722273237[[#This Row],[Frequency]]="Per Year",Operations1867727782879297102107112117124129134139144149154159529722273237[[#This Row],[Cost]]/12,Operations1867727782879297102107112117124129134139144149154159529722273237[[#This Row],[Frequency]]="Per month",Operations1867727782879297102107112117124129134139144149154159529722273237[[#This Row],[Cost]],Operations1867727782879297102107112117124129134139144149154159529722273237[[#This Row],[Frequency]]="Per day",Operations1867727782879297102107112117124129134139144149154159529722273237[[#This Row],[Cost]]*30,Operations1867727782879297102107112117124129134139144149154159529722273237[[#This Row],[Frequency]]="One-time",Operations1867727782879297102107112117124129134139144149154159529722273237[[#This Row],[Cost]]/SUM($C$18,$C$19))))</f>
        <v>#N/A</v>
      </c>
      <c r="H46" s="46" t="e">
        <f>Operations1867727782879297102107112117124129134139144149154159529722273237[[#This Row],[Monthly Cost Per Unit]]*12</f>
        <v>#N/A</v>
      </c>
    </row>
    <row r="47" spans="1:8" x14ac:dyDescent="0.25">
      <c r="A47" s="75"/>
      <c r="B47" s="76"/>
      <c r="C47" s="77"/>
      <c r="D47" s="78"/>
      <c r="E47" s="79"/>
      <c r="F47" s="79"/>
      <c r="G47" s="53" t="e" cm="1">
        <f t="array" ref="G47">_xlfn.IFS(Operations1867727782879297102107112117124129134139144149154159529722273237[[#This Row],[Unit]]="Program-wide",((_xlfn.IFS(Operations1867727782879297102107112117124129134139144149154159529722273237[[#This Row],[Frequency]]="Per Year",Operations1867727782879297102107112117124129134139144149154159529722273237[[#This Row],[Cost]]/12,Operations1867727782879297102107112117124129134139144149154159529722273237[[#This Row],[Frequency]]="Per month",Operations1867727782879297102107112117124129134139144149154159529722273237[[#This Row],[Cost]],Operations1867727782879297102107112117124129134139144149154159529722273237[[#This Row],[Frequency]]="Per day",Operations1867727782879297102107112117124129134139144149154159529722273237[[#This Row],[Cost]]*30,Operations1867727782879297102107112117124129134139144149154159529722273237[[#This Row],[Frequency]]="One-time",Operations1867727782879297102107112117124129134139144149154159529722273237[[#This Row],[Cost]]/SUM($C$18,$C$19)))/$C$17),Operations1867727782879297102107112117124129134139144149154159529722273237[[#This Row],[Unit]]="Per unit/space/household",(_xlfn.IFS(Operations1867727782879297102107112117124129134139144149154159529722273237[[#This Row],[Frequency]]="Per Year",Operations1867727782879297102107112117124129134139144149154159529722273237[[#This Row],[Cost]]/12,Operations1867727782879297102107112117124129134139144149154159529722273237[[#This Row],[Frequency]]="Per month",Operations1867727782879297102107112117124129134139144149154159529722273237[[#This Row],[Cost]],Operations1867727782879297102107112117124129134139144149154159529722273237[[#This Row],[Frequency]]="Per day",Operations1867727782879297102107112117124129134139144149154159529722273237[[#This Row],[Cost]]*30,Operations1867727782879297102107112117124129134139144149154159529722273237[[#This Row],[Frequency]]="One-time",Operations1867727782879297102107112117124129134139144149154159529722273237[[#This Row],[Cost]]/SUM($C$18,$C$19))))</f>
        <v>#N/A</v>
      </c>
      <c r="H47" s="46" t="e">
        <f>Operations1867727782879297102107112117124129134139144149154159529722273237[[#This Row],[Monthly Cost Per Unit]]*12</f>
        <v>#N/A</v>
      </c>
    </row>
    <row r="48" spans="1:8" x14ac:dyDescent="0.25">
      <c r="A48" s="75"/>
      <c r="B48" s="76"/>
      <c r="C48" s="77"/>
      <c r="D48" s="78"/>
      <c r="E48" s="79"/>
      <c r="F48" s="79"/>
      <c r="G48" s="53" t="e" cm="1">
        <f t="array" ref="G48">_xlfn.IFS(Operations1867727782879297102107112117124129134139144149154159529722273237[[#This Row],[Unit]]="Program-wide",((_xlfn.IFS(Operations1867727782879297102107112117124129134139144149154159529722273237[[#This Row],[Frequency]]="Per Year",Operations1867727782879297102107112117124129134139144149154159529722273237[[#This Row],[Cost]]/12,Operations1867727782879297102107112117124129134139144149154159529722273237[[#This Row],[Frequency]]="Per month",Operations1867727782879297102107112117124129134139144149154159529722273237[[#This Row],[Cost]],Operations1867727782879297102107112117124129134139144149154159529722273237[[#This Row],[Frequency]]="Per day",Operations1867727782879297102107112117124129134139144149154159529722273237[[#This Row],[Cost]]*30,Operations1867727782879297102107112117124129134139144149154159529722273237[[#This Row],[Frequency]]="One-time",Operations1867727782879297102107112117124129134139144149154159529722273237[[#This Row],[Cost]]/SUM($C$18,$C$19)))/$C$17),Operations1867727782879297102107112117124129134139144149154159529722273237[[#This Row],[Unit]]="Per unit/space/household",(_xlfn.IFS(Operations1867727782879297102107112117124129134139144149154159529722273237[[#This Row],[Frequency]]="Per Year",Operations1867727782879297102107112117124129134139144149154159529722273237[[#This Row],[Cost]]/12,Operations1867727782879297102107112117124129134139144149154159529722273237[[#This Row],[Frequency]]="Per month",Operations1867727782879297102107112117124129134139144149154159529722273237[[#This Row],[Cost]],Operations1867727782879297102107112117124129134139144149154159529722273237[[#This Row],[Frequency]]="Per day",Operations1867727782879297102107112117124129134139144149154159529722273237[[#This Row],[Cost]]*30,Operations1867727782879297102107112117124129134139144149154159529722273237[[#This Row],[Frequency]]="One-time",Operations1867727782879297102107112117124129134139144149154159529722273237[[#This Row],[Cost]]/SUM($C$18,$C$19))))</f>
        <v>#N/A</v>
      </c>
      <c r="H48" s="46" t="e">
        <f>Operations1867727782879297102107112117124129134139144149154159529722273237[[#This Row],[Monthly Cost Per Unit]]*12</f>
        <v>#N/A</v>
      </c>
    </row>
    <row r="49" spans="1:9" x14ac:dyDescent="0.25">
      <c r="A49" s="75"/>
      <c r="B49" s="76"/>
      <c r="C49" s="77"/>
      <c r="D49" s="78"/>
      <c r="E49" s="79"/>
      <c r="F49" s="79"/>
      <c r="G49" s="53" t="e" cm="1">
        <f t="array" ref="G49">_xlfn.IFS(Operations1867727782879297102107112117124129134139144149154159529722273237[[#This Row],[Unit]]="Program-wide",((_xlfn.IFS(Operations1867727782879297102107112117124129134139144149154159529722273237[[#This Row],[Frequency]]="Per Year",Operations1867727782879297102107112117124129134139144149154159529722273237[[#This Row],[Cost]]/12,Operations1867727782879297102107112117124129134139144149154159529722273237[[#This Row],[Frequency]]="Per month",Operations1867727782879297102107112117124129134139144149154159529722273237[[#This Row],[Cost]],Operations1867727782879297102107112117124129134139144149154159529722273237[[#This Row],[Frequency]]="Per day",Operations1867727782879297102107112117124129134139144149154159529722273237[[#This Row],[Cost]]*30,Operations1867727782879297102107112117124129134139144149154159529722273237[[#This Row],[Frequency]]="One-time",Operations1867727782879297102107112117124129134139144149154159529722273237[[#This Row],[Cost]]/SUM($C$18,$C$19)))/$C$17),Operations1867727782879297102107112117124129134139144149154159529722273237[[#This Row],[Unit]]="Per unit/space/household",(_xlfn.IFS(Operations1867727782879297102107112117124129134139144149154159529722273237[[#This Row],[Frequency]]="Per Year",Operations1867727782879297102107112117124129134139144149154159529722273237[[#This Row],[Cost]]/12,Operations1867727782879297102107112117124129134139144149154159529722273237[[#This Row],[Frequency]]="Per month",Operations1867727782879297102107112117124129134139144149154159529722273237[[#This Row],[Cost]],Operations1867727782879297102107112117124129134139144149154159529722273237[[#This Row],[Frequency]]="Per day",Operations1867727782879297102107112117124129134139144149154159529722273237[[#This Row],[Cost]]*30,Operations1867727782879297102107112117124129134139144149154159529722273237[[#This Row],[Frequency]]="One-time",Operations1867727782879297102107112117124129134139144149154159529722273237[[#This Row],[Cost]]/SUM($C$18,$C$19))))</f>
        <v>#N/A</v>
      </c>
      <c r="H49" s="46" t="e">
        <f>Operations1867727782879297102107112117124129134139144149154159529722273237[[#This Row],[Monthly Cost Per Unit]]*12</f>
        <v>#N/A</v>
      </c>
    </row>
    <row r="50" spans="1:9" x14ac:dyDescent="0.25">
      <c r="A50" s="75"/>
      <c r="B50" s="76"/>
      <c r="C50" s="77"/>
      <c r="D50" s="78"/>
      <c r="E50" s="79"/>
      <c r="F50" s="79"/>
      <c r="G50" s="53" t="e" cm="1">
        <f t="array" ref="G50">_xlfn.IFS(Operations1867727782879297102107112117124129134139144149154159529722273237[[#This Row],[Unit]]="Program-wide",((_xlfn.IFS(Operations1867727782879297102107112117124129134139144149154159529722273237[[#This Row],[Frequency]]="Per Year",Operations1867727782879297102107112117124129134139144149154159529722273237[[#This Row],[Cost]]/12,Operations1867727782879297102107112117124129134139144149154159529722273237[[#This Row],[Frequency]]="Per month",Operations1867727782879297102107112117124129134139144149154159529722273237[[#This Row],[Cost]],Operations1867727782879297102107112117124129134139144149154159529722273237[[#This Row],[Frequency]]="Per day",Operations1867727782879297102107112117124129134139144149154159529722273237[[#This Row],[Cost]]*30,Operations1867727782879297102107112117124129134139144149154159529722273237[[#This Row],[Frequency]]="One-time",Operations1867727782879297102107112117124129134139144149154159529722273237[[#This Row],[Cost]]/SUM($C$18,$C$19)))/$C$17),Operations1867727782879297102107112117124129134139144149154159529722273237[[#This Row],[Unit]]="Per unit/space/household",(_xlfn.IFS(Operations1867727782879297102107112117124129134139144149154159529722273237[[#This Row],[Frequency]]="Per Year",Operations1867727782879297102107112117124129134139144149154159529722273237[[#This Row],[Cost]]/12,Operations1867727782879297102107112117124129134139144149154159529722273237[[#This Row],[Frequency]]="Per month",Operations1867727782879297102107112117124129134139144149154159529722273237[[#This Row],[Cost]],Operations1867727782879297102107112117124129134139144149154159529722273237[[#This Row],[Frequency]]="Per day",Operations1867727782879297102107112117124129134139144149154159529722273237[[#This Row],[Cost]]*30,Operations1867727782879297102107112117124129134139144149154159529722273237[[#This Row],[Frequency]]="One-time",Operations1867727782879297102107112117124129134139144149154159529722273237[[#This Row],[Cost]]/SUM($C$18,$C$19))))</f>
        <v>#N/A</v>
      </c>
      <c r="H50" s="46" t="e">
        <f>Operations1867727782879297102107112117124129134139144149154159529722273237[[#This Row],[Monthly Cost Per Unit]]*12</f>
        <v>#N/A</v>
      </c>
    </row>
    <row r="51" spans="1:9" x14ac:dyDescent="0.25">
      <c r="A51" s="75"/>
      <c r="B51" s="76"/>
      <c r="C51" s="77"/>
      <c r="D51" s="78"/>
      <c r="E51" s="79"/>
      <c r="F51" s="79"/>
      <c r="G51" s="53" t="e" cm="1">
        <f t="array" ref="G51">_xlfn.IFS(Operations1867727782879297102107112117124129134139144149154159529722273237[[#This Row],[Unit]]="Program-wide",((_xlfn.IFS(Operations1867727782879297102107112117124129134139144149154159529722273237[[#This Row],[Frequency]]="Per Year",Operations1867727782879297102107112117124129134139144149154159529722273237[[#This Row],[Cost]]/12,Operations1867727782879297102107112117124129134139144149154159529722273237[[#This Row],[Frequency]]="Per month",Operations1867727782879297102107112117124129134139144149154159529722273237[[#This Row],[Cost]],Operations1867727782879297102107112117124129134139144149154159529722273237[[#This Row],[Frequency]]="Per day",Operations1867727782879297102107112117124129134139144149154159529722273237[[#This Row],[Cost]]*30,Operations1867727782879297102107112117124129134139144149154159529722273237[[#This Row],[Frequency]]="One-time",Operations1867727782879297102107112117124129134139144149154159529722273237[[#This Row],[Cost]]/SUM($C$18,$C$19)))/$C$17),Operations1867727782879297102107112117124129134139144149154159529722273237[[#This Row],[Unit]]="Per unit/space/household",(_xlfn.IFS(Operations1867727782879297102107112117124129134139144149154159529722273237[[#This Row],[Frequency]]="Per Year",Operations1867727782879297102107112117124129134139144149154159529722273237[[#This Row],[Cost]]/12,Operations1867727782879297102107112117124129134139144149154159529722273237[[#This Row],[Frequency]]="Per month",Operations1867727782879297102107112117124129134139144149154159529722273237[[#This Row],[Cost]],Operations1867727782879297102107112117124129134139144149154159529722273237[[#This Row],[Frequency]]="Per day",Operations1867727782879297102107112117124129134139144149154159529722273237[[#This Row],[Cost]]*30,Operations1867727782879297102107112117124129134139144149154159529722273237[[#This Row],[Frequency]]="One-time",Operations1867727782879297102107112117124129134139144149154159529722273237[[#This Row],[Cost]]/SUM($C$18,$C$19))))</f>
        <v>#N/A</v>
      </c>
      <c r="H51" s="46" t="e">
        <f>Operations1867727782879297102107112117124129134139144149154159529722273237[[#This Row],[Monthly Cost Per Unit]]*12</f>
        <v>#N/A</v>
      </c>
    </row>
    <row r="52" spans="1:9" x14ac:dyDescent="0.25">
      <c r="A52" s="75"/>
      <c r="B52" s="76"/>
      <c r="C52" s="77"/>
      <c r="D52" s="78"/>
      <c r="E52" s="79"/>
      <c r="F52" s="79"/>
      <c r="G52" s="55" t="e" cm="1">
        <f t="array" ref="G52">_xlfn.IFS(Operations1867727782879297102107112117124129134139144149154159529722273237[[#This Row],[Unit]]="Program-wide",((_xlfn.IFS(Operations1867727782879297102107112117124129134139144149154159529722273237[[#This Row],[Frequency]]="Per Year",Operations1867727782879297102107112117124129134139144149154159529722273237[[#This Row],[Cost]]/12,Operations1867727782879297102107112117124129134139144149154159529722273237[[#This Row],[Frequency]]="Per month",Operations1867727782879297102107112117124129134139144149154159529722273237[[#This Row],[Cost]],Operations1867727782879297102107112117124129134139144149154159529722273237[[#This Row],[Frequency]]="Per day",Operations1867727782879297102107112117124129134139144149154159529722273237[[#This Row],[Cost]]*30,Operations1867727782879297102107112117124129134139144149154159529722273237[[#This Row],[Frequency]]="One-time",Operations1867727782879297102107112117124129134139144149154159529722273237[[#This Row],[Cost]]/SUM($C$18,$C$19)))/$C$17),Operations1867727782879297102107112117124129134139144149154159529722273237[[#This Row],[Unit]]="Per unit/space/household",(_xlfn.IFS(Operations1867727782879297102107112117124129134139144149154159529722273237[[#This Row],[Frequency]]="Per Year",Operations1867727782879297102107112117124129134139144149154159529722273237[[#This Row],[Cost]]/12,Operations1867727782879297102107112117124129134139144149154159529722273237[[#This Row],[Frequency]]="Per month",Operations1867727782879297102107112117124129134139144149154159529722273237[[#This Row],[Cost]],Operations1867727782879297102107112117124129134139144149154159529722273237[[#This Row],[Frequency]]="Per day",Operations1867727782879297102107112117124129134139144149154159529722273237[[#This Row],[Cost]]*30,Operations1867727782879297102107112117124129134139144149154159529722273237[[#This Row],[Frequency]]="One-time",Operations1867727782879297102107112117124129134139144149154159529722273237[[#This Row],[Cost]]/SUM($C$18,$C$19))))</f>
        <v>#N/A</v>
      </c>
      <c r="H52" s="46" t="e">
        <f>Operations1867727782879297102107112117124129134139144149154159529722273237[[#This Row],[Monthly Cost Per Unit]]*12</f>
        <v>#N/A</v>
      </c>
    </row>
    <row r="53" spans="1:9" x14ac:dyDescent="0.25">
      <c r="A53" s="107" t="s">
        <v>20</v>
      </c>
      <c r="B53" s="107"/>
      <c r="C53" s="108" t="s">
        <v>68</v>
      </c>
      <c r="D53" s="109"/>
      <c r="E53" s="108"/>
      <c r="F53" s="108"/>
      <c r="G53" s="118"/>
      <c r="H53" s="111">
        <f>(SUMIF(Operations1867727782879297102107112117124129134139144149154159529722273237[Duration],"While homeless only",Operations1867727782879297102107112117124129134139144149154159529722273237[Monthly Cost Per Unit]))*12</f>
        <v>0</v>
      </c>
    </row>
    <row r="54" spans="1:9" x14ac:dyDescent="0.25">
      <c r="A54" s="112"/>
      <c r="B54" s="112"/>
      <c r="C54" s="108" t="s">
        <v>63</v>
      </c>
      <c r="D54" s="109"/>
      <c r="E54" s="108"/>
      <c r="F54" s="108"/>
      <c r="G54" s="111"/>
      <c r="H54" s="111">
        <f>(SUMIF(Operations1867727782879297102107112117124129134139144149154159529722273237[Duration],"While housed only",Operations1867727782879297102107112117124129134139144149154159529722273237[Monthly Cost Per Unit]))*12</f>
        <v>0</v>
      </c>
    </row>
    <row r="55" spans="1:9" x14ac:dyDescent="0.25">
      <c r="A55" s="112"/>
      <c r="B55" s="112"/>
      <c r="C55" s="108" t="s">
        <v>58</v>
      </c>
      <c r="D55" s="109"/>
      <c r="E55" s="108"/>
      <c r="F55" s="108"/>
      <c r="G55" s="111"/>
      <c r="H55" s="111">
        <f>(SUMIF(Operations1867727782879297102107112117124129134139144149154159529722273237[Duration],"Homeless &amp; housed",Operations1867727782879297102107112117124129134139144149154159529722273237[Monthly Cost Per Unit]))*12</f>
        <v>0</v>
      </c>
    </row>
    <row r="56" spans="1:9" ht="15.75" thickBot="1" x14ac:dyDescent="0.3">
      <c r="A56" s="113"/>
      <c r="B56" s="113"/>
      <c r="C56" s="114" t="s">
        <v>207</v>
      </c>
      <c r="D56" s="115"/>
      <c r="E56" s="114"/>
      <c r="F56" s="114"/>
      <c r="G56" s="117"/>
      <c r="H56" s="117">
        <f>(SUMIF(Operations1867727782879297102107112117124129134139144149154159529722273237[Duration],"N/A",Operations1867727782879297102107112117124129134139144149154159529722273237[Monthly Cost Per Unit]))*12</f>
        <v>0</v>
      </c>
    </row>
    <row r="57" spans="1:9" ht="16.5" thickTop="1" thickBot="1" x14ac:dyDescent="0.3">
      <c r="A57" s="113"/>
      <c r="B57" s="113"/>
      <c r="C57" s="114" t="s">
        <v>42</v>
      </c>
      <c r="D57" s="115"/>
      <c r="E57" s="114"/>
      <c r="F57" s="114"/>
      <c r="G57" s="117"/>
      <c r="H57" s="117">
        <f>SUM(H53:H56)</f>
        <v>0</v>
      </c>
    </row>
    <row r="58" spans="1:9" ht="15.75" thickTop="1" x14ac:dyDescent="0.25">
      <c r="A58" s="134"/>
      <c r="B58" s="134"/>
      <c r="C58" s="135"/>
      <c r="D58" s="136"/>
      <c r="E58" s="137"/>
      <c r="F58" s="137"/>
      <c r="G58" s="138"/>
    </row>
    <row r="59" spans="1:9" x14ac:dyDescent="0.25">
      <c r="A59" s="274" t="s">
        <v>69</v>
      </c>
      <c r="B59" s="274"/>
      <c r="C59" s="274"/>
      <c r="D59" s="274"/>
      <c r="E59" s="274"/>
      <c r="F59" s="274"/>
      <c r="G59" s="274"/>
      <c r="H59" s="274"/>
      <c r="I59" s="129"/>
    </row>
    <row r="60" spans="1:9" ht="27.95" customHeight="1" outlineLevel="1" x14ac:dyDescent="0.25">
      <c r="A60" s="281" t="s">
        <v>108</v>
      </c>
      <c r="B60" s="281"/>
      <c r="C60" s="281"/>
      <c r="D60" s="281"/>
      <c r="E60" s="281"/>
      <c r="F60" s="281"/>
      <c r="G60" s="281"/>
      <c r="H60" s="281"/>
      <c r="I60" s="129"/>
    </row>
    <row r="61" spans="1:9" ht="18" customHeight="1" outlineLevel="1" x14ac:dyDescent="0.25">
      <c r="A61" s="279" t="s">
        <v>70</v>
      </c>
      <c r="B61" s="279"/>
      <c r="C61" s="279"/>
      <c r="D61" s="279"/>
      <c r="E61" s="279"/>
      <c r="F61" s="279"/>
      <c r="G61" s="92"/>
      <c r="H61" s="10"/>
      <c r="I61" s="129"/>
    </row>
    <row r="62" spans="1:9" ht="45" customHeight="1" outlineLevel="1" x14ac:dyDescent="0.25">
      <c r="A62" s="278" t="s">
        <v>118</v>
      </c>
      <c r="B62" s="278"/>
      <c r="C62" s="278"/>
      <c r="D62" s="278"/>
      <c r="E62" s="278"/>
      <c r="F62" s="278"/>
      <c r="G62" s="92"/>
      <c r="H62" s="10"/>
      <c r="I62" s="129"/>
    </row>
    <row r="63" spans="1:9" ht="60.75" thickBot="1" x14ac:dyDescent="0.3">
      <c r="A63" s="128"/>
      <c r="B63" t="s">
        <v>71</v>
      </c>
      <c r="C63" s="11" t="s">
        <v>72</v>
      </c>
      <c r="D63" s="11" t="s">
        <v>73</v>
      </c>
      <c r="E63" s="11" t="s">
        <v>74</v>
      </c>
      <c r="F63" s="31" t="s">
        <v>75</v>
      </c>
      <c r="G63" s="10"/>
    </row>
    <row r="64" spans="1:9" ht="16.5" thickTop="1" thickBot="1" x14ac:dyDescent="0.3">
      <c r="A64" s="139" t="s">
        <v>76</v>
      </c>
      <c r="B64" s="90">
        <v>0</v>
      </c>
      <c r="C64" s="91">
        <v>0</v>
      </c>
      <c r="D64" s="91">
        <v>0</v>
      </c>
      <c r="E64" s="91">
        <v>0</v>
      </c>
      <c r="F64" s="140">
        <f>SUM(D64:E64)</f>
        <v>0</v>
      </c>
      <c r="G64" s="10"/>
    </row>
    <row r="65" spans="1:9" s="3" customFormat="1" ht="16.5" thickTop="1" thickBot="1" x14ac:dyDescent="0.3">
      <c r="A65" s="139" t="s">
        <v>77</v>
      </c>
      <c r="B65" s="90">
        <v>0</v>
      </c>
      <c r="C65" s="91">
        <v>0</v>
      </c>
      <c r="D65" s="91">
        <v>0</v>
      </c>
      <c r="E65" s="91">
        <v>0</v>
      </c>
      <c r="F65" s="140">
        <f t="shared" ref="F65:F71" si="0">SUM(D65:E65)</f>
        <v>0</v>
      </c>
      <c r="G65" s="10"/>
    </row>
    <row r="66" spans="1:9" ht="16.5" thickTop="1" thickBot="1" x14ac:dyDescent="0.3">
      <c r="A66" s="139" t="s">
        <v>78</v>
      </c>
      <c r="B66" s="90">
        <v>0</v>
      </c>
      <c r="C66" s="91">
        <v>0</v>
      </c>
      <c r="D66" s="91">
        <v>0</v>
      </c>
      <c r="E66" s="91">
        <v>0</v>
      </c>
      <c r="F66" s="140">
        <f t="shared" si="0"/>
        <v>0</v>
      </c>
      <c r="G66" s="10"/>
    </row>
    <row r="67" spans="1:9" ht="16.5" thickTop="1" thickBot="1" x14ac:dyDescent="0.3">
      <c r="A67" s="139" t="s">
        <v>79</v>
      </c>
      <c r="B67" s="90">
        <v>0</v>
      </c>
      <c r="C67" s="91">
        <v>0</v>
      </c>
      <c r="D67" s="91">
        <v>0</v>
      </c>
      <c r="E67" s="91">
        <v>0</v>
      </c>
      <c r="F67" s="140">
        <f t="shared" si="0"/>
        <v>0</v>
      </c>
      <c r="G67" s="10"/>
    </row>
    <row r="68" spans="1:9" ht="16.5" thickTop="1" thickBot="1" x14ac:dyDescent="0.3">
      <c r="A68" s="139" t="s">
        <v>80</v>
      </c>
      <c r="B68" s="90">
        <v>0</v>
      </c>
      <c r="C68" s="91">
        <v>0</v>
      </c>
      <c r="D68" s="91">
        <v>0</v>
      </c>
      <c r="E68" s="91">
        <v>0</v>
      </c>
      <c r="F68" s="140">
        <f t="shared" si="0"/>
        <v>0</v>
      </c>
      <c r="G68" s="10"/>
    </row>
    <row r="69" spans="1:9" ht="16.5" thickTop="1" thickBot="1" x14ac:dyDescent="0.3">
      <c r="A69" s="139" t="s">
        <v>81</v>
      </c>
      <c r="B69" s="90">
        <v>0</v>
      </c>
      <c r="C69" s="91">
        <v>0</v>
      </c>
      <c r="D69" s="91">
        <v>0</v>
      </c>
      <c r="E69" s="91">
        <v>0</v>
      </c>
      <c r="F69" s="140">
        <f t="shared" si="0"/>
        <v>0</v>
      </c>
      <c r="G69" s="10"/>
    </row>
    <row r="70" spans="1:9" ht="16.5" thickTop="1" thickBot="1" x14ac:dyDescent="0.3">
      <c r="A70" s="139" t="s">
        <v>82</v>
      </c>
      <c r="B70" s="90">
        <v>0</v>
      </c>
      <c r="C70" s="91">
        <v>0</v>
      </c>
      <c r="D70" s="91">
        <v>0</v>
      </c>
      <c r="E70" s="91">
        <v>0</v>
      </c>
      <c r="F70" s="140">
        <f t="shared" si="0"/>
        <v>0</v>
      </c>
      <c r="G70" s="10"/>
    </row>
    <row r="71" spans="1:9" ht="16.5" thickTop="1" thickBot="1" x14ac:dyDescent="0.3">
      <c r="A71" s="139" t="s">
        <v>83</v>
      </c>
      <c r="B71" s="90">
        <v>0</v>
      </c>
      <c r="C71" s="91">
        <v>0</v>
      </c>
      <c r="D71" s="91">
        <v>0</v>
      </c>
      <c r="E71" s="91">
        <v>0</v>
      </c>
      <c r="F71" s="140">
        <f t="shared" si="0"/>
        <v>0</v>
      </c>
      <c r="G71" s="10"/>
    </row>
    <row r="72" spans="1:9" ht="15.75" thickTop="1" x14ac:dyDescent="0.25">
      <c r="A72" s="141" t="s">
        <v>21</v>
      </c>
      <c r="C72" s="142" t="e">
        <f>SUM((C64*B64),(C65*B65),(C66*B66),(C67*B67),(C68*B68),(C69*B69),(C70*B70),(C71*B71))/(SUM(B64:B71))</f>
        <v>#DIV/0!</v>
      </c>
      <c r="D72" s="142" t="e">
        <f>SUM((D64*B64),(D65*B65),(D66*B66),(D67*B67),(D68*B68),(D69*B69),(D70*B70),(D71*B71))/(SUM(B64:B71))</f>
        <v>#DIV/0!</v>
      </c>
      <c r="E72" s="142" t="e">
        <f>SUM((E64*B64),(E65*B65),(E66*B66),(E67*B67),(E68*B68),(E69*B69),(E70*B70),(E71*B71))/(SUM(B64:B71))</f>
        <v>#DIV/0!</v>
      </c>
      <c r="F72" s="143" t="e">
        <f>SUM((F64*B64),(F65*B65),(F66*B66),(F67*B67),(F68*B68),(F69*B69),(F70*B70),(F71*B71))/(SUM(B64:B71))</f>
        <v>#DIV/0!</v>
      </c>
      <c r="G72" s="10"/>
    </row>
    <row r="73" spans="1:9" x14ac:dyDescent="0.25">
      <c r="A73" s="144"/>
      <c r="B73" s="145"/>
      <c r="C73" s="145"/>
      <c r="E73" s="10"/>
      <c r="F73" s="10"/>
      <c r="G73" s="129"/>
    </row>
    <row r="74" spans="1:9" x14ac:dyDescent="0.25">
      <c r="A74" s="279" t="s">
        <v>84</v>
      </c>
      <c r="B74" s="279"/>
      <c r="C74" s="279"/>
      <c r="D74" s="279"/>
      <c r="E74" s="279"/>
      <c r="F74" s="279"/>
      <c r="G74" s="279"/>
      <c r="H74" s="279"/>
    </row>
    <row r="75" spans="1:9" s="1" customFormat="1" ht="50.25" customHeight="1" outlineLevel="1" x14ac:dyDescent="0.25">
      <c r="A75" s="278" t="s">
        <v>119</v>
      </c>
      <c r="B75" s="278"/>
      <c r="C75" s="278"/>
      <c r="D75" s="278"/>
      <c r="E75" s="278"/>
      <c r="F75" s="278"/>
      <c r="G75" s="278"/>
      <c r="H75" s="278"/>
      <c r="I75"/>
    </row>
    <row r="76" spans="1:9" s="3" customFormat="1" ht="28.35" customHeight="1" x14ac:dyDescent="0.25">
      <c r="A76" s="131" t="s">
        <v>51</v>
      </c>
      <c r="B76" s="131" t="s">
        <v>52</v>
      </c>
      <c r="C76" s="131" t="s">
        <v>53</v>
      </c>
      <c r="D76" s="131" t="s">
        <v>54</v>
      </c>
      <c r="E76" s="131" t="s">
        <v>55</v>
      </c>
      <c r="F76" s="131" t="s">
        <v>56</v>
      </c>
      <c r="G76" s="131" t="s">
        <v>57</v>
      </c>
      <c r="H76" s="132" t="s">
        <v>20</v>
      </c>
    </row>
    <row r="77" spans="1:9" x14ac:dyDescent="0.25">
      <c r="A77" s="75"/>
      <c r="B77" s="75"/>
      <c r="C77" s="77"/>
      <c r="D77" s="78"/>
      <c r="E77" s="79"/>
      <c r="F77" s="79"/>
      <c r="G77" s="53" t="e" cm="1">
        <f t="array" ref="G77">_xlfn.IFS(RentalAssistance1968737883889398103108113118125130135140145150155160539823283338[[#This Row],[Unit]]="Program-wide",((_xlfn.IFS(RentalAssistance1968737883889398103108113118125130135140145150155160539823283338[[#This Row],[Frequency]]="Per Year",RentalAssistance1968737883889398103108113118125130135140145150155160539823283338[[#This Row],[Cost]]/12,RentalAssistance1968737883889398103108113118125130135140145150155160539823283338[[#This Row],[Frequency]]="Per month",RentalAssistance1968737883889398103108113118125130135140145150155160539823283338[[#This Row],[Cost]],RentalAssistance1968737883889398103108113118125130135140145150155160539823283338[[#This Row],[Frequency]]="Per day",RentalAssistance1968737883889398103108113118125130135140145150155160539823283338[[#This Row],[Cost]]*30,RentalAssistance1968737883889398103108113118125130135140145150155160539823283338[[#This Row],[Frequency]]="One-time",RentalAssistance1968737883889398103108113118125130135140145150155160539823283338[[#This Row],[Cost]]/SUM($C$18,$C$19)))/$C$17),RentalAssistance1968737883889398103108113118125130135140145150155160539823283338[[#This Row],[Unit]]="Per unit/space/household",(_xlfn.IFS(RentalAssistance1968737883889398103108113118125130135140145150155160539823283338[[#This Row],[Frequency]]="Per Year",RentalAssistance1968737883889398103108113118125130135140145150155160539823283338[[#This Row],[Cost]]/12,RentalAssistance1968737883889398103108113118125130135140145150155160539823283338[[#This Row],[Frequency]]="Per month",RentalAssistance1968737883889398103108113118125130135140145150155160539823283338[[#This Row],[Cost]],RentalAssistance1968737883889398103108113118125130135140145150155160539823283338[[#This Row],[Frequency]]="Per day",RentalAssistance1968737883889398103108113118125130135140145150155160539823283338[[#This Row],[Cost]]*30,RentalAssistance1968737883889398103108113118125130135140145150155160539823283338[[#This Row],[Frequency]]="One-time",RentalAssistance1968737883889398103108113118125130135140145150155160539823283338[[#This Row],[Cost]]/SUM($C$18,$C$19))))</f>
        <v>#N/A</v>
      </c>
      <c r="H77" s="46" t="e">
        <f>RentalAssistance1968737883889398103108113118125130135140145150155160539823283338[[#This Row],[Monthly Cost Per Unit]]*12</f>
        <v>#N/A</v>
      </c>
    </row>
    <row r="78" spans="1:9" x14ac:dyDescent="0.25">
      <c r="A78" s="75"/>
      <c r="B78" s="75"/>
      <c r="C78" s="77"/>
      <c r="D78" s="78"/>
      <c r="E78" s="79"/>
      <c r="F78" s="79"/>
      <c r="G78" s="53" t="e" cm="1">
        <f t="array" ref="G78">_xlfn.IFS(RentalAssistance1968737883889398103108113118125130135140145150155160539823283338[[#This Row],[Unit]]="Program-wide",((_xlfn.IFS(RentalAssistance1968737883889398103108113118125130135140145150155160539823283338[[#This Row],[Frequency]]="Per Year",RentalAssistance1968737883889398103108113118125130135140145150155160539823283338[[#This Row],[Cost]]/12,RentalAssistance1968737883889398103108113118125130135140145150155160539823283338[[#This Row],[Frequency]]="Per month",RentalAssistance1968737883889398103108113118125130135140145150155160539823283338[[#This Row],[Cost]],RentalAssistance1968737883889398103108113118125130135140145150155160539823283338[[#This Row],[Frequency]]="Per day",RentalAssistance1968737883889398103108113118125130135140145150155160539823283338[[#This Row],[Cost]]*30,RentalAssistance1968737883889398103108113118125130135140145150155160539823283338[[#This Row],[Frequency]]="One-time",RentalAssistance1968737883889398103108113118125130135140145150155160539823283338[[#This Row],[Cost]]/SUM($C$18,$C$19)))/$C$17),RentalAssistance1968737883889398103108113118125130135140145150155160539823283338[[#This Row],[Unit]]="Per unit/space/household",(_xlfn.IFS(RentalAssistance1968737883889398103108113118125130135140145150155160539823283338[[#This Row],[Frequency]]="Per Year",RentalAssistance1968737883889398103108113118125130135140145150155160539823283338[[#This Row],[Cost]]/12,RentalAssistance1968737883889398103108113118125130135140145150155160539823283338[[#This Row],[Frequency]]="Per month",RentalAssistance1968737883889398103108113118125130135140145150155160539823283338[[#This Row],[Cost]],RentalAssistance1968737883889398103108113118125130135140145150155160539823283338[[#This Row],[Frequency]]="Per day",RentalAssistance1968737883889398103108113118125130135140145150155160539823283338[[#This Row],[Cost]]*30,RentalAssistance1968737883889398103108113118125130135140145150155160539823283338[[#This Row],[Frequency]]="One-time",RentalAssistance1968737883889398103108113118125130135140145150155160539823283338[[#This Row],[Cost]]/SUM($C$18,$C$19))))</f>
        <v>#N/A</v>
      </c>
      <c r="H78" s="46" t="e">
        <f>RentalAssistance1968737883889398103108113118125130135140145150155160539823283338[[#This Row],[Monthly Cost Per Unit]]*12</f>
        <v>#N/A</v>
      </c>
    </row>
    <row r="79" spans="1:9" x14ac:dyDescent="0.25">
      <c r="A79" s="75"/>
      <c r="B79" s="75"/>
      <c r="C79" s="77"/>
      <c r="D79" s="78"/>
      <c r="E79" s="79"/>
      <c r="F79" s="79"/>
      <c r="G79" s="53" t="e" cm="1">
        <f t="array" ref="G79">_xlfn.IFS(RentalAssistance1968737883889398103108113118125130135140145150155160539823283338[[#This Row],[Unit]]="Program-wide",((_xlfn.IFS(RentalAssistance1968737883889398103108113118125130135140145150155160539823283338[[#This Row],[Frequency]]="Per Year",RentalAssistance1968737883889398103108113118125130135140145150155160539823283338[[#This Row],[Cost]]/12,RentalAssistance1968737883889398103108113118125130135140145150155160539823283338[[#This Row],[Frequency]]="Per month",RentalAssistance1968737883889398103108113118125130135140145150155160539823283338[[#This Row],[Cost]],RentalAssistance1968737883889398103108113118125130135140145150155160539823283338[[#This Row],[Frequency]]="Per day",RentalAssistance1968737883889398103108113118125130135140145150155160539823283338[[#This Row],[Cost]]*30,RentalAssistance1968737883889398103108113118125130135140145150155160539823283338[[#This Row],[Frequency]]="One-time",RentalAssistance1968737883889398103108113118125130135140145150155160539823283338[[#This Row],[Cost]]/SUM($C$18,$C$19)))/$C$17),RentalAssistance1968737883889398103108113118125130135140145150155160539823283338[[#This Row],[Unit]]="Per unit/space/household",(_xlfn.IFS(RentalAssistance1968737883889398103108113118125130135140145150155160539823283338[[#This Row],[Frequency]]="Per Year",RentalAssistance1968737883889398103108113118125130135140145150155160539823283338[[#This Row],[Cost]]/12,RentalAssistance1968737883889398103108113118125130135140145150155160539823283338[[#This Row],[Frequency]]="Per month",RentalAssistance1968737883889398103108113118125130135140145150155160539823283338[[#This Row],[Cost]],RentalAssistance1968737883889398103108113118125130135140145150155160539823283338[[#This Row],[Frequency]]="Per day",RentalAssistance1968737883889398103108113118125130135140145150155160539823283338[[#This Row],[Cost]]*30,RentalAssistance1968737883889398103108113118125130135140145150155160539823283338[[#This Row],[Frequency]]="One-time",RentalAssistance1968737883889398103108113118125130135140145150155160539823283338[[#This Row],[Cost]]/SUM($C$18,$C$19))))</f>
        <v>#N/A</v>
      </c>
      <c r="H79" s="46" t="e">
        <f>RentalAssistance1968737883889398103108113118125130135140145150155160539823283338[[#This Row],[Monthly Cost Per Unit]]*12</f>
        <v>#N/A</v>
      </c>
    </row>
    <row r="80" spans="1:9" x14ac:dyDescent="0.25">
      <c r="A80" s="75"/>
      <c r="B80" s="75"/>
      <c r="C80" s="77"/>
      <c r="D80" s="78"/>
      <c r="E80" s="79"/>
      <c r="F80" s="79"/>
      <c r="G80" s="53" t="e" cm="1">
        <f t="array" ref="G80">_xlfn.IFS(RentalAssistance1968737883889398103108113118125130135140145150155160539823283338[[#This Row],[Unit]]="Program-wide",((_xlfn.IFS(RentalAssistance1968737883889398103108113118125130135140145150155160539823283338[[#This Row],[Frequency]]="Per Year",RentalAssistance1968737883889398103108113118125130135140145150155160539823283338[[#This Row],[Cost]]/12,RentalAssistance1968737883889398103108113118125130135140145150155160539823283338[[#This Row],[Frequency]]="Per month",RentalAssistance1968737883889398103108113118125130135140145150155160539823283338[[#This Row],[Cost]],RentalAssistance1968737883889398103108113118125130135140145150155160539823283338[[#This Row],[Frequency]]="Per day",RentalAssistance1968737883889398103108113118125130135140145150155160539823283338[[#This Row],[Cost]]*30,RentalAssistance1968737883889398103108113118125130135140145150155160539823283338[[#This Row],[Frequency]]="One-time",RentalAssistance1968737883889398103108113118125130135140145150155160539823283338[[#This Row],[Cost]]/SUM($C$18,$C$19)))/$C$17),RentalAssistance1968737883889398103108113118125130135140145150155160539823283338[[#This Row],[Unit]]="Per unit/space/household",(_xlfn.IFS(RentalAssistance1968737883889398103108113118125130135140145150155160539823283338[[#This Row],[Frequency]]="Per Year",RentalAssistance1968737883889398103108113118125130135140145150155160539823283338[[#This Row],[Cost]]/12,RentalAssistance1968737883889398103108113118125130135140145150155160539823283338[[#This Row],[Frequency]]="Per month",RentalAssistance1968737883889398103108113118125130135140145150155160539823283338[[#This Row],[Cost]],RentalAssistance1968737883889398103108113118125130135140145150155160539823283338[[#This Row],[Frequency]]="Per day",RentalAssistance1968737883889398103108113118125130135140145150155160539823283338[[#This Row],[Cost]]*30,RentalAssistance1968737883889398103108113118125130135140145150155160539823283338[[#This Row],[Frequency]]="One-time",RentalAssistance1968737883889398103108113118125130135140145150155160539823283338[[#This Row],[Cost]]/SUM($C$18,$C$19))))</f>
        <v>#N/A</v>
      </c>
      <c r="H80" s="46" t="e">
        <f>RentalAssistance1968737883889398103108113118125130135140145150155160539823283338[[#This Row],[Monthly Cost Per Unit]]*12</f>
        <v>#N/A</v>
      </c>
    </row>
    <row r="81" spans="1:8" x14ac:dyDescent="0.25">
      <c r="A81" s="75"/>
      <c r="B81" s="75"/>
      <c r="C81" s="77"/>
      <c r="D81" s="78"/>
      <c r="E81" s="79"/>
      <c r="F81" s="79"/>
      <c r="G81" s="53" t="e" cm="1">
        <f t="array" ref="G81">_xlfn.IFS(RentalAssistance1968737883889398103108113118125130135140145150155160539823283338[[#This Row],[Unit]]="Program-wide",((_xlfn.IFS(RentalAssistance1968737883889398103108113118125130135140145150155160539823283338[[#This Row],[Frequency]]="Per Year",RentalAssistance1968737883889398103108113118125130135140145150155160539823283338[[#This Row],[Cost]]/12,RentalAssistance1968737883889398103108113118125130135140145150155160539823283338[[#This Row],[Frequency]]="Per month",RentalAssistance1968737883889398103108113118125130135140145150155160539823283338[[#This Row],[Cost]],RentalAssistance1968737883889398103108113118125130135140145150155160539823283338[[#This Row],[Frequency]]="Per day",RentalAssistance1968737883889398103108113118125130135140145150155160539823283338[[#This Row],[Cost]]*30,RentalAssistance1968737883889398103108113118125130135140145150155160539823283338[[#This Row],[Frequency]]="One-time",RentalAssistance1968737883889398103108113118125130135140145150155160539823283338[[#This Row],[Cost]]/SUM($C$18,$C$19)))/$C$17),RentalAssistance1968737883889398103108113118125130135140145150155160539823283338[[#This Row],[Unit]]="Per unit/space/household",(_xlfn.IFS(RentalAssistance1968737883889398103108113118125130135140145150155160539823283338[[#This Row],[Frequency]]="Per Year",RentalAssistance1968737883889398103108113118125130135140145150155160539823283338[[#This Row],[Cost]]/12,RentalAssistance1968737883889398103108113118125130135140145150155160539823283338[[#This Row],[Frequency]]="Per month",RentalAssistance1968737883889398103108113118125130135140145150155160539823283338[[#This Row],[Cost]],RentalAssistance1968737883889398103108113118125130135140145150155160539823283338[[#This Row],[Frequency]]="Per day",RentalAssistance1968737883889398103108113118125130135140145150155160539823283338[[#This Row],[Cost]]*30,RentalAssistance1968737883889398103108113118125130135140145150155160539823283338[[#This Row],[Frequency]]="One-time",RentalAssistance1968737883889398103108113118125130135140145150155160539823283338[[#This Row],[Cost]]/SUM($C$18,$C$19))))</f>
        <v>#N/A</v>
      </c>
      <c r="H81" s="46" t="e">
        <f>RentalAssistance1968737883889398103108113118125130135140145150155160539823283338[[#This Row],[Monthly Cost Per Unit]]*12</f>
        <v>#N/A</v>
      </c>
    </row>
    <row r="82" spans="1:8" x14ac:dyDescent="0.25">
      <c r="A82" s="75"/>
      <c r="B82" s="75"/>
      <c r="C82" s="77"/>
      <c r="D82" s="78"/>
      <c r="E82" s="79"/>
      <c r="F82" s="79"/>
      <c r="G82" s="53" t="e" cm="1">
        <f t="array" ref="G82">_xlfn.IFS(RentalAssistance1968737883889398103108113118125130135140145150155160539823283338[[#This Row],[Unit]]="Program-wide",((_xlfn.IFS(RentalAssistance1968737883889398103108113118125130135140145150155160539823283338[[#This Row],[Frequency]]="Per Year",RentalAssistance1968737883889398103108113118125130135140145150155160539823283338[[#This Row],[Cost]]/12,RentalAssistance1968737883889398103108113118125130135140145150155160539823283338[[#This Row],[Frequency]]="Per month",RentalAssistance1968737883889398103108113118125130135140145150155160539823283338[[#This Row],[Cost]],RentalAssistance1968737883889398103108113118125130135140145150155160539823283338[[#This Row],[Frequency]]="Per day",RentalAssistance1968737883889398103108113118125130135140145150155160539823283338[[#This Row],[Cost]]*30,RentalAssistance1968737883889398103108113118125130135140145150155160539823283338[[#This Row],[Frequency]]="One-time",RentalAssistance1968737883889398103108113118125130135140145150155160539823283338[[#This Row],[Cost]]/SUM($C$18,$C$19)))/$C$17),RentalAssistance1968737883889398103108113118125130135140145150155160539823283338[[#This Row],[Unit]]="Per unit/space/household",(_xlfn.IFS(RentalAssistance1968737883889398103108113118125130135140145150155160539823283338[[#This Row],[Frequency]]="Per Year",RentalAssistance1968737883889398103108113118125130135140145150155160539823283338[[#This Row],[Cost]]/12,RentalAssistance1968737883889398103108113118125130135140145150155160539823283338[[#This Row],[Frequency]]="Per month",RentalAssistance1968737883889398103108113118125130135140145150155160539823283338[[#This Row],[Cost]],RentalAssistance1968737883889398103108113118125130135140145150155160539823283338[[#This Row],[Frequency]]="Per day",RentalAssistance1968737883889398103108113118125130135140145150155160539823283338[[#This Row],[Cost]]*30,RentalAssistance1968737883889398103108113118125130135140145150155160539823283338[[#This Row],[Frequency]]="One-time",RentalAssistance1968737883889398103108113118125130135140145150155160539823283338[[#This Row],[Cost]]/SUM($C$18,$C$19))))</f>
        <v>#N/A</v>
      </c>
      <c r="H82" s="46" t="e">
        <f>RentalAssistance1968737883889398103108113118125130135140145150155160539823283338[[#This Row],[Monthly Cost Per Unit]]*12</f>
        <v>#N/A</v>
      </c>
    </row>
    <row r="83" spans="1:8" x14ac:dyDescent="0.25">
      <c r="A83" s="75"/>
      <c r="B83" s="75"/>
      <c r="C83" s="77"/>
      <c r="D83" s="78"/>
      <c r="E83" s="79"/>
      <c r="F83" s="79"/>
      <c r="G83" s="53" t="e" cm="1">
        <f t="array" ref="G83">_xlfn.IFS(RentalAssistance1968737883889398103108113118125130135140145150155160539823283338[[#This Row],[Unit]]="Program-wide",((_xlfn.IFS(RentalAssistance1968737883889398103108113118125130135140145150155160539823283338[[#This Row],[Frequency]]="Per Year",RentalAssistance1968737883889398103108113118125130135140145150155160539823283338[[#This Row],[Cost]]/12,RentalAssistance1968737883889398103108113118125130135140145150155160539823283338[[#This Row],[Frequency]]="Per month",RentalAssistance1968737883889398103108113118125130135140145150155160539823283338[[#This Row],[Cost]],RentalAssistance1968737883889398103108113118125130135140145150155160539823283338[[#This Row],[Frequency]]="Per day",RentalAssistance1968737883889398103108113118125130135140145150155160539823283338[[#This Row],[Cost]]*30,RentalAssistance1968737883889398103108113118125130135140145150155160539823283338[[#This Row],[Frequency]]="One-time",RentalAssistance1968737883889398103108113118125130135140145150155160539823283338[[#This Row],[Cost]]/SUM($C$18,$C$19)))/$C$17),RentalAssistance1968737883889398103108113118125130135140145150155160539823283338[[#This Row],[Unit]]="Per unit/space/household",(_xlfn.IFS(RentalAssistance1968737883889398103108113118125130135140145150155160539823283338[[#This Row],[Frequency]]="Per Year",RentalAssistance1968737883889398103108113118125130135140145150155160539823283338[[#This Row],[Cost]]/12,RentalAssistance1968737883889398103108113118125130135140145150155160539823283338[[#This Row],[Frequency]]="Per month",RentalAssistance1968737883889398103108113118125130135140145150155160539823283338[[#This Row],[Cost]],RentalAssistance1968737883889398103108113118125130135140145150155160539823283338[[#This Row],[Frequency]]="Per day",RentalAssistance1968737883889398103108113118125130135140145150155160539823283338[[#This Row],[Cost]]*30,RentalAssistance1968737883889398103108113118125130135140145150155160539823283338[[#This Row],[Frequency]]="One-time",RentalAssistance1968737883889398103108113118125130135140145150155160539823283338[[#This Row],[Cost]]/SUM($C$18,$C$19))))</f>
        <v>#N/A</v>
      </c>
      <c r="H83" s="46" t="e">
        <f>RentalAssistance1968737883889398103108113118125130135140145150155160539823283338[[#This Row],[Monthly Cost Per Unit]]*12</f>
        <v>#N/A</v>
      </c>
    </row>
    <row r="84" spans="1:8" x14ac:dyDescent="0.25">
      <c r="A84" s="75"/>
      <c r="B84" s="75"/>
      <c r="C84" s="77"/>
      <c r="D84" s="78"/>
      <c r="E84" s="79"/>
      <c r="F84" s="79"/>
      <c r="G84" s="53" t="e" cm="1">
        <f t="array" ref="G84">_xlfn.IFS(RentalAssistance1968737883889398103108113118125130135140145150155160539823283338[[#This Row],[Unit]]="Program-wide",((_xlfn.IFS(RentalAssistance1968737883889398103108113118125130135140145150155160539823283338[[#This Row],[Frequency]]="Per Year",RentalAssistance1968737883889398103108113118125130135140145150155160539823283338[[#This Row],[Cost]]/12,RentalAssistance1968737883889398103108113118125130135140145150155160539823283338[[#This Row],[Frequency]]="Per month",RentalAssistance1968737883889398103108113118125130135140145150155160539823283338[[#This Row],[Cost]],RentalAssistance1968737883889398103108113118125130135140145150155160539823283338[[#This Row],[Frequency]]="Per day",RentalAssistance1968737883889398103108113118125130135140145150155160539823283338[[#This Row],[Cost]]*30,RentalAssistance1968737883889398103108113118125130135140145150155160539823283338[[#This Row],[Frequency]]="One-time",RentalAssistance1968737883889398103108113118125130135140145150155160539823283338[[#This Row],[Cost]]/SUM($C$18,$C$19)))/$C$17),RentalAssistance1968737883889398103108113118125130135140145150155160539823283338[[#This Row],[Unit]]="Per unit/space/household",(_xlfn.IFS(RentalAssistance1968737883889398103108113118125130135140145150155160539823283338[[#This Row],[Frequency]]="Per Year",RentalAssistance1968737883889398103108113118125130135140145150155160539823283338[[#This Row],[Cost]]/12,RentalAssistance1968737883889398103108113118125130135140145150155160539823283338[[#This Row],[Frequency]]="Per month",RentalAssistance1968737883889398103108113118125130135140145150155160539823283338[[#This Row],[Cost]],RentalAssistance1968737883889398103108113118125130135140145150155160539823283338[[#This Row],[Frequency]]="Per day",RentalAssistance1968737883889398103108113118125130135140145150155160539823283338[[#This Row],[Cost]]*30,RentalAssistance1968737883889398103108113118125130135140145150155160539823283338[[#This Row],[Frequency]]="One-time",RentalAssistance1968737883889398103108113118125130135140145150155160539823283338[[#This Row],[Cost]]/SUM($C$18,$C$19))))</f>
        <v>#N/A</v>
      </c>
      <c r="H84" s="46" t="e">
        <f>RentalAssistance1968737883889398103108113118125130135140145150155160539823283338[[#This Row],[Monthly Cost Per Unit]]*12</f>
        <v>#N/A</v>
      </c>
    </row>
    <row r="85" spans="1:8" x14ac:dyDescent="0.25">
      <c r="A85" s="80"/>
      <c r="B85" s="80"/>
      <c r="C85" s="82"/>
      <c r="D85" s="83"/>
      <c r="E85" s="84"/>
      <c r="F85" s="84"/>
      <c r="G85" s="55" t="e" cm="1">
        <f t="array" ref="G85">_xlfn.IFS(RentalAssistance1968737883889398103108113118125130135140145150155160539823283338[[#This Row],[Unit]]="Program-wide",((_xlfn.IFS(RentalAssistance1968737883889398103108113118125130135140145150155160539823283338[[#This Row],[Frequency]]="Per Year",RentalAssistance1968737883889398103108113118125130135140145150155160539823283338[[#This Row],[Cost]]/12,RentalAssistance1968737883889398103108113118125130135140145150155160539823283338[[#This Row],[Frequency]]="Per month",RentalAssistance1968737883889398103108113118125130135140145150155160539823283338[[#This Row],[Cost]],RentalAssistance1968737883889398103108113118125130135140145150155160539823283338[[#This Row],[Frequency]]="Per day",RentalAssistance1968737883889398103108113118125130135140145150155160539823283338[[#This Row],[Cost]]*30,RentalAssistance1968737883889398103108113118125130135140145150155160539823283338[[#This Row],[Frequency]]="One-time",RentalAssistance1968737883889398103108113118125130135140145150155160539823283338[[#This Row],[Cost]]/SUM($C$18,$C$19)))/$C$17),RentalAssistance1968737883889398103108113118125130135140145150155160539823283338[[#This Row],[Unit]]="Per unit/space/household",(_xlfn.IFS(RentalAssistance1968737883889398103108113118125130135140145150155160539823283338[[#This Row],[Frequency]]="Per Year",RentalAssistance1968737883889398103108113118125130135140145150155160539823283338[[#This Row],[Cost]]/12,RentalAssistance1968737883889398103108113118125130135140145150155160539823283338[[#This Row],[Frequency]]="Per month",RentalAssistance1968737883889398103108113118125130135140145150155160539823283338[[#This Row],[Cost]],RentalAssistance1968737883889398103108113118125130135140145150155160539823283338[[#This Row],[Frequency]]="Per day",RentalAssistance1968737883889398103108113118125130135140145150155160539823283338[[#This Row],[Cost]]*30,RentalAssistance1968737883889398103108113118125130135140145150155160539823283338[[#This Row],[Frequency]]="One-time",RentalAssistance1968737883889398103108113118125130135140145150155160539823283338[[#This Row],[Cost]]/SUM($C$18,$C$19))))</f>
        <v>#N/A</v>
      </c>
      <c r="H85" s="46" t="e">
        <f>RentalAssistance1968737883889398103108113118125130135140145150155160539823283338[[#This Row],[Monthly Cost Per Unit]]*12</f>
        <v>#N/A</v>
      </c>
    </row>
    <row r="86" spans="1:8" x14ac:dyDescent="0.25">
      <c r="A86" s="107" t="s">
        <v>20</v>
      </c>
      <c r="B86" s="107"/>
      <c r="C86" s="108" t="s">
        <v>68</v>
      </c>
      <c r="D86" s="109"/>
      <c r="E86" s="108"/>
      <c r="F86" s="108"/>
      <c r="G86" s="118"/>
      <c r="H86" s="111">
        <f>(SUMIF(RentalAssistance1968737883889398103108113118125130135140145150155160539823283338[Duration],"While homeless only",RentalAssistance1968737883889398103108113118125130135140145150155160539823283338[Monthly Cost Per Unit]))*12</f>
        <v>0</v>
      </c>
    </row>
    <row r="87" spans="1:8" x14ac:dyDescent="0.25">
      <c r="A87" s="112"/>
      <c r="B87" s="112"/>
      <c r="C87" s="108" t="s">
        <v>63</v>
      </c>
      <c r="D87" s="109"/>
      <c r="E87" s="108"/>
      <c r="F87" s="108"/>
      <c r="G87" s="111"/>
      <c r="H87" s="111">
        <f>(SUMIF(RentalAssistance1968737883889398103108113118125130135140145150155160539823283338[Duration],"While housed only",RentalAssistance1968737883889398103108113118125130135140145150155160539823283338[Monthly Cost Per Unit]))*12</f>
        <v>0</v>
      </c>
    </row>
    <row r="88" spans="1:8" x14ac:dyDescent="0.25">
      <c r="A88" s="112"/>
      <c r="B88" s="112"/>
      <c r="C88" s="108" t="s">
        <v>58</v>
      </c>
      <c r="D88" s="109"/>
      <c r="E88" s="108"/>
      <c r="F88" s="108"/>
      <c r="G88" s="111"/>
      <c r="H88" s="111">
        <f>(SUMIF(RentalAssistance1968737883889398103108113118125130135140145150155160539823283338[Duration],"Homeless &amp; housed",RentalAssistance1968737883889398103108113118125130135140145150155160539823283338[Monthly Cost Per Unit]))*12</f>
        <v>0</v>
      </c>
    </row>
    <row r="89" spans="1:8" ht="15.75" thickBot="1" x14ac:dyDescent="0.3">
      <c r="A89" s="113"/>
      <c r="B89" s="113"/>
      <c r="C89" s="114" t="s">
        <v>207</v>
      </c>
      <c r="D89" s="115"/>
      <c r="E89" s="114"/>
      <c r="F89" s="114"/>
      <c r="G89" s="117"/>
      <c r="H89" s="117">
        <f>(SUMIF(RentalAssistance1968737883889398103108113118125130135140145150155160539823283338[Duration],"N/A",RentalAssistance1968737883889398103108113118125130135140145150155160539823283338[Monthly Cost Per Unit]))*12</f>
        <v>0</v>
      </c>
    </row>
    <row r="90" spans="1:8" ht="16.5" thickTop="1" thickBot="1" x14ac:dyDescent="0.3">
      <c r="A90" s="113"/>
      <c r="B90" s="113"/>
      <c r="C90" s="114" t="s">
        <v>42</v>
      </c>
      <c r="D90" s="115"/>
      <c r="E90" s="114"/>
      <c r="F90" s="114"/>
      <c r="G90" s="117"/>
      <c r="H90" s="117">
        <f>SUM(H86:H89)</f>
        <v>0</v>
      </c>
    </row>
    <row r="91" spans="1:8" ht="15.75" thickTop="1" x14ac:dyDescent="0.25">
      <c r="A91" s="146"/>
      <c r="B91" s="137"/>
      <c r="C91" s="137"/>
      <c r="D91" s="137"/>
      <c r="E91" s="137"/>
      <c r="F91" s="138"/>
      <c r="G91"/>
      <c r="H91" s="128"/>
    </row>
    <row r="92" spans="1:8" x14ac:dyDescent="0.25">
      <c r="A92" s="274" t="s">
        <v>88</v>
      </c>
      <c r="B92" s="274"/>
      <c r="C92" s="274"/>
      <c r="D92" s="274"/>
      <c r="E92" s="274"/>
      <c r="F92" s="274"/>
      <c r="G92" s="274"/>
      <c r="H92" s="274"/>
    </row>
    <row r="93" spans="1:8" ht="32.25" customHeight="1" outlineLevel="1" x14ac:dyDescent="0.25">
      <c r="A93" s="294" t="s">
        <v>89</v>
      </c>
      <c r="B93" s="294"/>
      <c r="C93" s="294"/>
      <c r="D93" s="294"/>
      <c r="E93" s="294"/>
      <c r="F93" s="294"/>
      <c r="G93" s="294"/>
      <c r="H93" s="294"/>
    </row>
    <row r="94" spans="1:8" ht="30" x14ac:dyDescent="0.25">
      <c r="A94" s="131" t="s">
        <v>51</v>
      </c>
      <c r="B94" s="131" t="s">
        <v>52</v>
      </c>
      <c r="C94" s="131" t="s">
        <v>53</v>
      </c>
      <c r="D94" s="131" t="s">
        <v>54</v>
      </c>
      <c r="E94" s="131" t="s">
        <v>55</v>
      </c>
      <c r="F94" s="131" t="s">
        <v>56</v>
      </c>
      <c r="G94" s="131" t="s">
        <v>57</v>
      </c>
      <c r="H94" s="132" t="s">
        <v>20</v>
      </c>
    </row>
    <row r="95" spans="1:8" x14ac:dyDescent="0.25">
      <c r="A95" s="75"/>
      <c r="B95" s="75"/>
      <c r="C95" s="77"/>
      <c r="D95" s="78"/>
      <c r="E95" s="79"/>
      <c r="F95" s="76"/>
      <c r="G95" s="53" t="e" cm="1">
        <f t="array" ref="G95">_xlfn.IFS(Services11069747984899499104109114119126131136141146151156161549924293439[[#This Row],[Unit]]="Program-wide",((_xlfn.IFS(Services11069747984899499104109114119126131136141146151156161549924293439[[#This Row],[Frequency]]="Per Year",Services11069747984899499104109114119126131136141146151156161549924293439[[#This Row],[Cost]]/12,Services11069747984899499104109114119126131136141146151156161549924293439[[#This Row],[Frequency]]="Per month",Services11069747984899499104109114119126131136141146151156161549924293439[[#This Row],[Cost]],Services11069747984899499104109114119126131136141146151156161549924293439[[#This Row],[Frequency]]="Per day",Services11069747984899499104109114119126131136141146151156161549924293439[[#This Row],[Cost]]*30,Services11069747984899499104109114119126131136141146151156161549924293439[[#This Row],[Frequency]]="One-time",Services11069747984899499104109114119126131136141146151156161549924293439[[#This Row],[Cost]]/SUM($C$18,$C$19)))/$C$17),Services11069747984899499104109114119126131136141146151156161549924293439[[#This Row],[Unit]]="Per unit/space/household",(_xlfn.IFS(Services11069747984899499104109114119126131136141146151156161549924293439[[#This Row],[Frequency]]="Per Year",Services11069747984899499104109114119126131136141146151156161549924293439[[#This Row],[Cost]]/12,Services11069747984899499104109114119126131136141146151156161549924293439[[#This Row],[Frequency]]="Per month",Services11069747984899499104109114119126131136141146151156161549924293439[[#This Row],[Cost]],Services11069747984899499104109114119126131136141146151156161549924293439[[#This Row],[Frequency]]="Per day",Services11069747984899499104109114119126131136141146151156161549924293439[[#This Row],[Cost]]*30,Services11069747984899499104109114119126131136141146151156161549924293439[[#This Row],[Frequency]]="One-time",Services11069747984899499104109114119126131136141146151156161549924293439[[#This Row],[Cost]]/SUM($C$18,$C$19))))</f>
        <v>#N/A</v>
      </c>
      <c r="H95" s="46" t="e">
        <f>Services11069747984899499104109114119126131136141146151156161549924293439[[#This Row],[Monthly Cost Per Unit]]*12</f>
        <v>#N/A</v>
      </c>
    </row>
    <row r="96" spans="1:8" x14ac:dyDescent="0.25">
      <c r="A96" s="75"/>
      <c r="B96" s="75"/>
      <c r="C96" s="77"/>
      <c r="D96" s="78"/>
      <c r="E96" s="79"/>
      <c r="F96" s="76"/>
      <c r="G96" s="53" t="e" cm="1">
        <f t="array" ref="G96">_xlfn.IFS(Services11069747984899499104109114119126131136141146151156161549924293439[[#This Row],[Unit]]="Program-wide",((_xlfn.IFS(Services11069747984899499104109114119126131136141146151156161549924293439[[#This Row],[Frequency]]="Per Year",Services11069747984899499104109114119126131136141146151156161549924293439[[#This Row],[Cost]]/12,Services11069747984899499104109114119126131136141146151156161549924293439[[#This Row],[Frequency]]="Per month",Services11069747984899499104109114119126131136141146151156161549924293439[[#This Row],[Cost]],Services11069747984899499104109114119126131136141146151156161549924293439[[#This Row],[Frequency]]="Per day",Services11069747984899499104109114119126131136141146151156161549924293439[[#This Row],[Cost]]*30,Services11069747984899499104109114119126131136141146151156161549924293439[[#This Row],[Frequency]]="One-time",Services11069747984899499104109114119126131136141146151156161549924293439[[#This Row],[Cost]]/SUM($C$18,$C$19)))/$C$17),Services11069747984899499104109114119126131136141146151156161549924293439[[#This Row],[Unit]]="Per unit/space/household",(_xlfn.IFS(Services11069747984899499104109114119126131136141146151156161549924293439[[#This Row],[Frequency]]="Per Year",Services11069747984899499104109114119126131136141146151156161549924293439[[#This Row],[Cost]]/12,Services11069747984899499104109114119126131136141146151156161549924293439[[#This Row],[Frequency]]="Per month",Services11069747984899499104109114119126131136141146151156161549924293439[[#This Row],[Cost]],Services11069747984899499104109114119126131136141146151156161549924293439[[#This Row],[Frequency]]="Per day",Services11069747984899499104109114119126131136141146151156161549924293439[[#This Row],[Cost]]*30,Services11069747984899499104109114119126131136141146151156161549924293439[[#This Row],[Frequency]]="One-time",Services11069747984899499104109114119126131136141146151156161549924293439[[#This Row],[Cost]]/SUM($C$18,$C$19))))</f>
        <v>#N/A</v>
      </c>
      <c r="H96" s="46" t="e">
        <f>Services11069747984899499104109114119126131136141146151156161549924293439[[#This Row],[Monthly Cost Per Unit]]*12</f>
        <v>#N/A</v>
      </c>
    </row>
    <row r="97" spans="1:8" x14ac:dyDescent="0.25">
      <c r="A97" s="75"/>
      <c r="B97" s="75"/>
      <c r="C97" s="77"/>
      <c r="D97" s="78"/>
      <c r="E97" s="79"/>
      <c r="F97" s="76"/>
      <c r="G97" s="53" t="e" cm="1">
        <f t="array" ref="G97">_xlfn.IFS(Services11069747984899499104109114119126131136141146151156161549924293439[[#This Row],[Unit]]="Program-wide",((_xlfn.IFS(Services11069747984899499104109114119126131136141146151156161549924293439[[#This Row],[Frequency]]="Per Year",Services11069747984899499104109114119126131136141146151156161549924293439[[#This Row],[Cost]]/12,Services11069747984899499104109114119126131136141146151156161549924293439[[#This Row],[Frequency]]="Per month",Services11069747984899499104109114119126131136141146151156161549924293439[[#This Row],[Cost]],Services11069747984899499104109114119126131136141146151156161549924293439[[#This Row],[Frequency]]="Per day",Services11069747984899499104109114119126131136141146151156161549924293439[[#This Row],[Cost]]*30,Services11069747984899499104109114119126131136141146151156161549924293439[[#This Row],[Frequency]]="One-time",Services11069747984899499104109114119126131136141146151156161549924293439[[#This Row],[Cost]]/SUM($C$18,$C$19)))/$C$17),Services11069747984899499104109114119126131136141146151156161549924293439[[#This Row],[Unit]]="Per unit/space/household",(_xlfn.IFS(Services11069747984899499104109114119126131136141146151156161549924293439[[#This Row],[Frequency]]="Per Year",Services11069747984899499104109114119126131136141146151156161549924293439[[#This Row],[Cost]]/12,Services11069747984899499104109114119126131136141146151156161549924293439[[#This Row],[Frequency]]="Per month",Services11069747984899499104109114119126131136141146151156161549924293439[[#This Row],[Cost]],Services11069747984899499104109114119126131136141146151156161549924293439[[#This Row],[Frequency]]="Per day",Services11069747984899499104109114119126131136141146151156161549924293439[[#This Row],[Cost]]*30,Services11069747984899499104109114119126131136141146151156161549924293439[[#This Row],[Frequency]]="One-time",Services11069747984899499104109114119126131136141146151156161549924293439[[#This Row],[Cost]]/SUM($C$18,$C$19))))</f>
        <v>#N/A</v>
      </c>
      <c r="H97" s="46" t="e">
        <f>Services11069747984899499104109114119126131136141146151156161549924293439[[#This Row],[Monthly Cost Per Unit]]*12</f>
        <v>#N/A</v>
      </c>
    </row>
    <row r="98" spans="1:8" x14ac:dyDescent="0.25">
      <c r="A98" s="75"/>
      <c r="B98" s="75"/>
      <c r="C98" s="77"/>
      <c r="D98" s="78"/>
      <c r="E98" s="79"/>
      <c r="F98" s="76"/>
      <c r="G98" s="53" t="e" cm="1">
        <f t="array" ref="G98">_xlfn.IFS(Services11069747984899499104109114119126131136141146151156161549924293439[[#This Row],[Unit]]="Program-wide",((_xlfn.IFS(Services11069747984899499104109114119126131136141146151156161549924293439[[#This Row],[Frequency]]="Per Year",Services11069747984899499104109114119126131136141146151156161549924293439[[#This Row],[Cost]]/12,Services11069747984899499104109114119126131136141146151156161549924293439[[#This Row],[Frequency]]="Per month",Services11069747984899499104109114119126131136141146151156161549924293439[[#This Row],[Cost]],Services11069747984899499104109114119126131136141146151156161549924293439[[#This Row],[Frequency]]="Per day",Services11069747984899499104109114119126131136141146151156161549924293439[[#This Row],[Cost]]*30,Services11069747984899499104109114119126131136141146151156161549924293439[[#This Row],[Frequency]]="One-time",Services11069747984899499104109114119126131136141146151156161549924293439[[#This Row],[Cost]]/SUM($C$18,$C$19)))/$C$17),Services11069747984899499104109114119126131136141146151156161549924293439[[#This Row],[Unit]]="Per unit/space/household",(_xlfn.IFS(Services11069747984899499104109114119126131136141146151156161549924293439[[#This Row],[Frequency]]="Per Year",Services11069747984899499104109114119126131136141146151156161549924293439[[#This Row],[Cost]]/12,Services11069747984899499104109114119126131136141146151156161549924293439[[#This Row],[Frequency]]="Per month",Services11069747984899499104109114119126131136141146151156161549924293439[[#This Row],[Cost]],Services11069747984899499104109114119126131136141146151156161549924293439[[#This Row],[Frequency]]="Per day",Services11069747984899499104109114119126131136141146151156161549924293439[[#This Row],[Cost]]*30,Services11069747984899499104109114119126131136141146151156161549924293439[[#This Row],[Frequency]]="One-time",Services11069747984899499104109114119126131136141146151156161549924293439[[#This Row],[Cost]]/SUM($C$18,$C$19))))</f>
        <v>#N/A</v>
      </c>
      <c r="H98" s="46" t="e">
        <f>Services11069747984899499104109114119126131136141146151156161549924293439[[#This Row],[Monthly Cost Per Unit]]*12</f>
        <v>#N/A</v>
      </c>
    </row>
    <row r="99" spans="1:8" x14ac:dyDescent="0.25">
      <c r="A99" s="75"/>
      <c r="B99" s="75"/>
      <c r="C99" s="77"/>
      <c r="D99" s="78"/>
      <c r="E99" s="79"/>
      <c r="F99" s="76"/>
      <c r="G99" s="53" t="e" cm="1">
        <f t="array" ref="G99">_xlfn.IFS(Services11069747984899499104109114119126131136141146151156161549924293439[[#This Row],[Unit]]="Program-wide",((_xlfn.IFS(Services11069747984899499104109114119126131136141146151156161549924293439[[#This Row],[Frequency]]="Per Year",Services11069747984899499104109114119126131136141146151156161549924293439[[#This Row],[Cost]]/12,Services11069747984899499104109114119126131136141146151156161549924293439[[#This Row],[Frequency]]="Per month",Services11069747984899499104109114119126131136141146151156161549924293439[[#This Row],[Cost]],Services11069747984899499104109114119126131136141146151156161549924293439[[#This Row],[Frequency]]="Per day",Services11069747984899499104109114119126131136141146151156161549924293439[[#This Row],[Cost]]*30,Services11069747984899499104109114119126131136141146151156161549924293439[[#This Row],[Frequency]]="One-time",Services11069747984899499104109114119126131136141146151156161549924293439[[#This Row],[Cost]]/SUM($C$18,$C$19)))/$C$17),Services11069747984899499104109114119126131136141146151156161549924293439[[#This Row],[Unit]]="Per unit/space/household",(_xlfn.IFS(Services11069747984899499104109114119126131136141146151156161549924293439[[#This Row],[Frequency]]="Per Year",Services11069747984899499104109114119126131136141146151156161549924293439[[#This Row],[Cost]]/12,Services11069747984899499104109114119126131136141146151156161549924293439[[#This Row],[Frequency]]="Per month",Services11069747984899499104109114119126131136141146151156161549924293439[[#This Row],[Cost]],Services11069747984899499104109114119126131136141146151156161549924293439[[#This Row],[Frequency]]="Per day",Services11069747984899499104109114119126131136141146151156161549924293439[[#This Row],[Cost]]*30,Services11069747984899499104109114119126131136141146151156161549924293439[[#This Row],[Frequency]]="One-time",Services11069747984899499104109114119126131136141146151156161549924293439[[#This Row],[Cost]]/SUM($C$18,$C$19))))</f>
        <v>#N/A</v>
      </c>
      <c r="H99" s="46" t="e">
        <f>Services11069747984899499104109114119126131136141146151156161549924293439[[#This Row],[Monthly Cost Per Unit]]*12</f>
        <v>#N/A</v>
      </c>
    </row>
    <row r="100" spans="1:8" x14ac:dyDescent="0.25">
      <c r="A100" s="75"/>
      <c r="B100" s="75"/>
      <c r="C100" s="77"/>
      <c r="D100" s="78"/>
      <c r="E100" s="79"/>
      <c r="F100" s="76"/>
      <c r="G100" s="53" t="e" cm="1">
        <f t="array" ref="G100">_xlfn.IFS(Services11069747984899499104109114119126131136141146151156161549924293439[[#This Row],[Unit]]="Program-wide",((_xlfn.IFS(Services11069747984899499104109114119126131136141146151156161549924293439[[#This Row],[Frequency]]="Per Year",Services11069747984899499104109114119126131136141146151156161549924293439[[#This Row],[Cost]]/12,Services11069747984899499104109114119126131136141146151156161549924293439[[#This Row],[Frequency]]="Per month",Services11069747984899499104109114119126131136141146151156161549924293439[[#This Row],[Cost]],Services11069747984899499104109114119126131136141146151156161549924293439[[#This Row],[Frequency]]="Per day",Services11069747984899499104109114119126131136141146151156161549924293439[[#This Row],[Cost]]*30,Services11069747984899499104109114119126131136141146151156161549924293439[[#This Row],[Frequency]]="One-time",Services11069747984899499104109114119126131136141146151156161549924293439[[#This Row],[Cost]]/SUM($C$18,$C$19)))/$C$17),Services11069747984899499104109114119126131136141146151156161549924293439[[#This Row],[Unit]]="Per unit/space/household",(_xlfn.IFS(Services11069747984899499104109114119126131136141146151156161549924293439[[#This Row],[Frequency]]="Per Year",Services11069747984899499104109114119126131136141146151156161549924293439[[#This Row],[Cost]]/12,Services11069747984899499104109114119126131136141146151156161549924293439[[#This Row],[Frequency]]="Per month",Services11069747984899499104109114119126131136141146151156161549924293439[[#This Row],[Cost]],Services11069747984899499104109114119126131136141146151156161549924293439[[#This Row],[Frequency]]="Per day",Services11069747984899499104109114119126131136141146151156161549924293439[[#This Row],[Cost]]*30,Services11069747984899499104109114119126131136141146151156161549924293439[[#This Row],[Frequency]]="One-time",Services11069747984899499104109114119126131136141146151156161549924293439[[#This Row],[Cost]]/SUM($C$18,$C$19))))</f>
        <v>#N/A</v>
      </c>
      <c r="H100" s="46" t="e">
        <f>Services11069747984899499104109114119126131136141146151156161549924293439[[#This Row],[Monthly Cost Per Unit]]*12</f>
        <v>#N/A</v>
      </c>
    </row>
    <row r="101" spans="1:8" x14ac:dyDescent="0.25">
      <c r="A101" s="75"/>
      <c r="B101" s="75"/>
      <c r="C101" s="77"/>
      <c r="D101" s="78"/>
      <c r="E101" s="79"/>
      <c r="F101" s="76"/>
      <c r="G101" s="53" t="e" cm="1">
        <f t="array" ref="G101">_xlfn.IFS(Services11069747984899499104109114119126131136141146151156161549924293439[[#This Row],[Unit]]="Program-wide",((_xlfn.IFS(Services11069747984899499104109114119126131136141146151156161549924293439[[#This Row],[Frequency]]="Per Year",Services11069747984899499104109114119126131136141146151156161549924293439[[#This Row],[Cost]]/12,Services11069747984899499104109114119126131136141146151156161549924293439[[#This Row],[Frequency]]="Per month",Services11069747984899499104109114119126131136141146151156161549924293439[[#This Row],[Cost]],Services11069747984899499104109114119126131136141146151156161549924293439[[#This Row],[Frequency]]="Per day",Services11069747984899499104109114119126131136141146151156161549924293439[[#This Row],[Cost]]*30,Services11069747984899499104109114119126131136141146151156161549924293439[[#This Row],[Frequency]]="One-time",Services11069747984899499104109114119126131136141146151156161549924293439[[#This Row],[Cost]]/SUM($C$18,$C$19)))/$C$17),Services11069747984899499104109114119126131136141146151156161549924293439[[#This Row],[Unit]]="Per unit/space/household",(_xlfn.IFS(Services11069747984899499104109114119126131136141146151156161549924293439[[#This Row],[Frequency]]="Per Year",Services11069747984899499104109114119126131136141146151156161549924293439[[#This Row],[Cost]]/12,Services11069747984899499104109114119126131136141146151156161549924293439[[#This Row],[Frequency]]="Per month",Services11069747984899499104109114119126131136141146151156161549924293439[[#This Row],[Cost]],Services11069747984899499104109114119126131136141146151156161549924293439[[#This Row],[Frequency]]="Per day",Services11069747984899499104109114119126131136141146151156161549924293439[[#This Row],[Cost]]*30,Services11069747984899499104109114119126131136141146151156161549924293439[[#This Row],[Frequency]]="One-time",Services11069747984899499104109114119126131136141146151156161549924293439[[#This Row],[Cost]]/SUM($C$18,$C$19))))</f>
        <v>#N/A</v>
      </c>
      <c r="H101" s="46" t="e">
        <f>Services11069747984899499104109114119126131136141146151156161549924293439[[#This Row],[Monthly Cost Per Unit]]*12</f>
        <v>#N/A</v>
      </c>
    </row>
    <row r="102" spans="1:8" x14ac:dyDescent="0.25">
      <c r="A102" s="75"/>
      <c r="B102" s="75"/>
      <c r="C102" s="77"/>
      <c r="D102" s="78"/>
      <c r="E102" s="79"/>
      <c r="F102" s="76"/>
      <c r="G102" s="53" t="e" cm="1">
        <f t="array" ref="G102">_xlfn.IFS(Services11069747984899499104109114119126131136141146151156161549924293439[[#This Row],[Unit]]="Program-wide",((_xlfn.IFS(Services11069747984899499104109114119126131136141146151156161549924293439[[#This Row],[Frequency]]="Per Year",Services11069747984899499104109114119126131136141146151156161549924293439[[#This Row],[Cost]]/12,Services11069747984899499104109114119126131136141146151156161549924293439[[#This Row],[Frequency]]="Per month",Services11069747984899499104109114119126131136141146151156161549924293439[[#This Row],[Cost]],Services11069747984899499104109114119126131136141146151156161549924293439[[#This Row],[Frequency]]="Per day",Services11069747984899499104109114119126131136141146151156161549924293439[[#This Row],[Cost]]*30,Services11069747984899499104109114119126131136141146151156161549924293439[[#This Row],[Frequency]]="One-time",Services11069747984899499104109114119126131136141146151156161549924293439[[#This Row],[Cost]]/SUM($C$18,$C$19)))/$C$17),Services11069747984899499104109114119126131136141146151156161549924293439[[#This Row],[Unit]]="Per unit/space/household",(_xlfn.IFS(Services11069747984899499104109114119126131136141146151156161549924293439[[#This Row],[Frequency]]="Per Year",Services11069747984899499104109114119126131136141146151156161549924293439[[#This Row],[Cost]]/12,Services11069747984899499104109114119126131136141146151156161549924293439[[#This Row],[Frequency]]="Per month",Services11069747984899499104109114119126131136141146151156161549924293439[[#This Row],[Cost]],Services11069747984899499104109114119126131136141146151156161549924293439[[#This Row],[Frequency]]="Per day",Services11069747984899499104109114119126131136141146151156161549924293439[[#This Row],[Cost]]*30,Services11069747984899499104109114119126131136141146151156161549924293439[[#This Row],[Frequency]]="One-time",Services11069747984899499104109114119126131136141146151156161549924293439[[#This Row],[Cost]]/SUM($C$18,$C$19))))</f>
        <v>#N/A</v>
      </c>
      <c r="H102" s="46" t="e">
        <f>Services11069747984899499104109114119126131136141146151156161549924293439[[#This Row],[Monthly Cost Per Unit]]*12</f>
        <v>#N/A</v>
      </c>
    </row>
    <row r="103" spans="1:8" x14ac:dyDescent="0.25">
      <c r="A103" s="75"/>
      <c r="B103" s="75"/>
      <c r="C103" s="77"/>
      <c r="D103" s="78"/>
      <c r="E103" s="79"/>
      <c r="F103" s="76"/>
      <c r="G103" s="53" t="e" cm="1">
        <f t="array" ref="G103">_xlfn.IFS(Services11069747984899499104109114119126131136141146151156161549924293439[[#This Row],[Unit]]="Program-wide",((_xlfn.IFS(Services11069747984899499104109114119126131136141146151156161549924293439[[#This Row],[Frequency]]="Per Year",Services11069747984899499104109114119126131136141146151156161549924293439[[#This Row],[Cost]]/12,Services11069747984899499104109114119126131136141146151156161549924293439[[#This Row],[Frequency]]="Per month",Services11069747984899499104109114119126131136141146151156161549924293439[[#This Row],[Cost]],Services11069747984899499104109114119126131136141146151156161549924293439[[#This Row],[Frequency]]="Per day",Services11069747984899499104109114119126131136141146151156161549924293439[[#This Row],[Cost]]*30,Services11069747984899499104109114119126131136141146151156161549924293439[[#This Row],[Frequency]]="One-time",Services11069747984899499104109114119126131136141146151156161549924293439[[#This Row],[Cost]]/SUM($C$18,$C$19)))/$C$17),Services11069747984899499104109114119126131136141146151156161549924293439[[#This Row],[Unit]]="Per unit/space/household",(_xlfn.IFS(Services11069747984899499104109114119126131136141146151156161549924293439[[#This Row],[Frequency]]="Per Year",Services11069747984899499104109114119126131136141146151156161549924293439[[#This Row],[Cost]]/12,Services11069747984899499104109114119126131136141146151156161549924293439[[#This Row],[Frequency]]="Per month",Services11069747984899499104109114119126131136141146151156161549924293439[[#This Row],[Cost]],Services11069747984899499104109114119126131136141146151156161549924293439[[#This Row],[Frequency]]="Per day",Services11069747984899499104109114119126131136141146151156161549924293439[[#This Row],[Cost]]*30,Services11069747984899499104109114119126131136141146151156161549924293439[[#This Row],[Frequency]]="One-time",Services11069747984899499104109114119126131136141146151156161549924293439[[#This Row],[Cost]]/SUM($C$18,$C$19))))</f>
        <v>#N/A</v>
      </c>
      <c r="H103" s="46" t="e">
        <f>Services11069747984899499104109114119126131136141146151156161549924293439[[#This Row],[Monthly Cost Per Unit]]*12</f>
        <v>#N/A</v>
      </c>
    </row>
    <row r="104" spans="1:8" x14ac:dyDescent="0.25">
      <c r="A104" s="75"/>
      <c r="B104" s="75"/>
      <c r="C104" s="77"/>
      <c r="D104" s="78"/>
      <c r="E104" s="79"/>
      <c r="F104" s="76"/>
      <c r="G104" s="53" t="e" cm="1">
        <f t="array" ref="G104">_xlfn.IFS(Services11069747984899499104109114119126131136141146151156161549924293439[[#This Row],[Unit]]="Program-wide",((_xlfn.IFS(Services11069747984899499104109114119126131136141146151156161549924293439[[#This Row],[Frequency]]="Per Year",Services11069747984899499104109114119126131136141146151156161549924293439[[#This Row],[Cost]]/12,Services11069747984899499104109114119126131136141146151156161549924293439[[#This Row],[Frequency]]="Per month",Services11069747984899499104109114119126131136141146151156161549924293439[[#This Row],[Cost]],Services11069747984899499104109114119126131136141146151156161549924293439[[#This Row],[Frequency]]="Per day",Services11069747984899499104109114119126131136141146151156161549924293439[[#This Row],[Cost]]*30,Services11069747984899499104109114119126131136141146151156161549924293439[[#This Row],[Frequency]]="One-time",Services11069747984899499104109114119126131136141146151156161549924293439[[#This Row],[Cost]]/SUM($C$18,$C$19)))/$C$17),Services11069747984899499104109114119126131136141146151156161549924293439[[#This Row],[Unit]]="Per unit/space/household",(_xlfn.IFS(Services11069747984899499104109114119126131136141146151156161549924293439[[#This Row],[Frequency]]="Per Year",Services11069747984899499104109114119126131136141146151156161549924293439[[#This Row],[Cost]]/12,Services11069747984899499104109114119126131136141146151156161549924293439[[#This Row],[Frequency]]="Per month",Services11069747984899499104109114119126131136141146151156161549924293439[[#This Row],[Cost]],Services11069747984899499104109114119126131136141146151156161549924293439[[#This Row],[Frequency]]="Per day",Services11069747984899499104109114119126131136141146151156161549924293439[[#This Row],[Cost]]*30,Services11069747984899499104109114119126131136141146151156161549924293439[[#This Row],[Frequency]]="One-time",Services11069747984899499104109114119126131136141146151156161549924293439[[#This Row],[Cost]]/SUM($C$18,$C$19))))</f>
        <v>#N/A</v>
      </c>
      <c r="H104" s="46" t="e">
        <f>Services11069747984899499104109114119126131136141146151156161549924293439[[#This Row],[Monthly Cost Per Unit]]*12</f>
        <v>#N/A</v>
      </c>
    </row>
    <row r="105" spans="1:8" x14ac:dyDescent="0.25">
      <c r="A105" s="75"/>
      <c r="B105" s="75"/>
      <c r="C105" s="77"/>
      <c r="D105" s="78"/>
      <c r="E105" s="79"/>
      <c r="F105" s="76"/>
      <c r="G105" s="53" t="e" cm="1">
        <f t="array" ref="G105">_xlfn.IFS(Services11069747984899499104109114119126131136141146151156161549924293439[[#This Row],[Unit]]="Program-wide",((_xlfn.IFS(Services11069747984899499104109114119126131136141146151156161549924293439[[#This Row],[Frequency]]="Per Year",Services11069747984899499104109114119126131136141146151156161549924293439[[#This Row],[Cost]]/12,Services11069747984899499104109114119126131136141146151156161549924293439[[#This Row],[Frequency]]="Per month",Services11069747984899499104109114119126131136141146151156161549924293439[[#This Row],[Cost]],Services11069747984899499104109114119126131136141146151156161549924293439[[#This Row],[Frequency]]="Per day",Services11069747984899499104109114119126131136141146151156161549924293439[[#This Row],[Cost]]*30,Services11069747984899499104109114119126131136141146151156161549924293439[[#This Row],[Frequency]]="One-time",Services11069747984899499104109114119126131136141146151156161549924293439[[#This Row],[Cost]]/SUM($C$18,$C$19)))/$C$17),Services11069747984899499104109114119126131136141146151156161549924293439[[#This Row],[Unit]]="Per unit/space/household",(_xlfn.IFS(Services11069747984899499104109114119126131136141146151156161549924293439[[#This Row],[Frequency]]="Per Year",Services11069747984899499104109114119126131136141146151156161549924293439[[#This Row],[Cost]]/12,Services11069747984899499104109114119126131136141146151156161549924293439[[#This Row],[Frequency]]="Per month",Services11069747984899499104109114119126131136141146151156161549924293439[[#This Row],[Cost]],Services11069747984899499104109114119126131136141146151156161549924293439[[#This Row],[Frequency]]="Per day",Services11069747984899499104109114119126131136141146151156161549924293439[[#This Row],[Cost]]*30,Services11069747984899499104109114119126131136141146151156161549924293439[[#This Row],[Frequency]]="One-time",Services11069747984899499104109114119126131136141146151156161549924293439[[#This Row],[Cost]]/SUM($C$18,$C$19))))</f>
        <v>#N/A</v>
      </c>
      <c r="H105" s="46" t="e">
        <f>Services11069747984899499104109114119126131136141146151156161549924293439[[#This Row],[Monthly Cost Per Unit]]*12</f>
        <v>#N/A</v>
      </c>
    </row>
    <row r="106" spans="1:8" x14ac:dyDescent="0.25">
      <c r="A106" s="75"/>
      <c r="B106" s="75"/>
      <c r="C106" s="77"/>
      <c r="D106" s="78"/>
      <c r="E106" s="79"/>
      <c r="F106" s="76"/>
      <c r="G106" s="53" t="e" cm="1">
        <f t="array" ref="G106">_xlfn.IFS(Services11069747984899499104109114119126131136141146151156161549924293439[[#This Row],[Unit]]="Program-wide",((_xlfn.IFS(Services11069747984899499104109114119126131136141146151156161549924293439[[#This Row],[Frequency]]="Per Year",Services11069747984899499104109114119126131136141146151156161549924293439[[#This Row],[Cost]]/12,Services11069747984899499104109114119126131136141146151156161549924293439[[#This Row],[Frequency]]="Per month",Services11069747984899499104109114119126131136141146151156161549924293439[[#This Row],[Cost]],Services11069747984899499104109114119126131136141146151156161549924293439[[#This Row],[Frequency]]="Per day",Services11069747984899499104109114119126131136141146151156161549924293439[[#This Row],[Cost]]*30,Services11069747984899499104109114119126131136141146151156161549924293439[[#This Row],[Frequency]]="One-time",Services11069747984899499104109114119126131136141146151156161549924293439[[#This Row],[Cost]]/SUM($C$18,$C$19)))/$C$17),Services11069747984899499104109114119126131136141146151156161549924293439[[#This Row],[Unit]]="Per unit/space/household",(_xlfn.IFS(Services11069747984899499104109114119126131136141146151156161549924293439[[#This Row],[Frequency]]="Per Year",Services11069747984899499104109114119126131136141146151156161549924293439[[#This Row],[Cost]]/12,Services11069747984899499104109114119126131136141146151156161549924293439[[#This Row],[Frequency]]="Per month",Services11069747984899499104109114119126131136141146151156161549924293439[[#This Row],[Cost]],Services11069747984899499104109114119126131136141146151156161549924293439[[#This Row],[Frequency]]="Per day",Services11069747984899499104109114119126131136141146151156161549924293439[[#This Row],[Cost]]*30,Services11069747984899499104109114119126131136141146151156161549924293439[[#This Row],[Frequency]]="One-time",Services11069747984899499104109114119126131136141146151156161549924293439[[#This Row],[Cost]]/SUM($C$18,$C$19))))</f>
        <v>#N/A</v>
      </c>
      <c r="H106" s="46" t="e">
        <f>Services11069747984899499104109114119126131136141146151156161549924293439[[#This Row],[Monthly Cost Per Unit]]*12</f>
        <v>#N/A</v>
      </c>
    </row>
    <row r="107" spans="1:8" x14ac:dyDescent="0.25">
      <c r="A107" s="80"/>
      <c r="B107" s="80"/>
      <c r="C107" s="82"/>
      <c r="D107" s="83"/>
      <c r="E107" s="84"/>
      <c r="F107" s="81"/>
      <c r="G107" s="55" t="e" cm="1">
        <f t="array" ref="G107">_xlfn.IFS(Services11069747984899499104109114119126131136141146151156161549924293439[[#This Row],[Unit]]="Program-wide",((_xlfn.IFS(Services11069747984899499104109114119126131136141146151156161549924293439[[#This Row],[Frequency]]="Per Year",Services11069747984899499104109114119126131136141146151156161549924293439[[#This Row],[Cost]]/12,Services11069747984899499104109114119126131136141146151156161549924293439[[#This Row],[Frequency]]="Per month",Services11069747984899499104109114119126131136141146151156161549924293439[[#This Row],[Cost]],Services11069747984899499104109114119126131136141146151156161549924293439[[#This Row],[Frequency]]="Per day",Services11069747984899499104109114119126131136141146151156161549924293439[[#This Row],[Cost]]*30,Services11069747984899499104109114119126131136141146151156161549924293439[[#This Row],[Frequency]]="One-time",Services11069747984899499104109114119126131136141146151156161549924293439[[#This Row],[Cost]]/SUM($C$18,$C$19)))/$C$17),Services11069747984899499104109114119126131136141146151156161549924293439[[#This Row],[Unit]]="Per unit/space/household",(_xlfn.IFS(Services11069747984899499104109114119126131136141146151156161549924293439[[#This Row],[Frequency]]="Per Year",Services11069747984899499104109114119126131136141146151156161549924293439[[#This Row],[Cost]]/12,Services11069747984899499104109114119126131136141146151156161549924293439[[#This Row],[Frequency]]="Per month",Services11069747984899499104109114119126131136141146151156161549924293439[[#This Row],[Cost]],Services11069747984899499104109114119126131136141146151156161549924293439[[#This Row],[Frequency]]="Per day",Services11069747984899499104109114119126131136141146151156161549924293439[[#This Row],[Cost]]*30,Services11069747984899499104109114119126131136141146151156161549924293439[[#This Row],[Frequency]]="One-time",Services11069747984899499104109114119126131136141146151156161549924293439[[#This Row],[Cost]]/SUM($C$18,$C$19))))</f>
        <v>#N/A</v>
      </c>
      <c r="H107" s="46" t="e">
        <f>Services11069747984899499104109114119126131136141146151156161549924293439[[#This Row],[Monthly Cost Per Unit]]*12</f>
        <v>#N/A</v>
      </c>
    </row>
    <row r="108" spans="1:8" x14ac:dyDescent="0.25">
      <c r="A108" s="107" t="s">
        <v>20</v>
      </c>
      <c r="B108" s="107"/>
      <c r="C108" s="108" t="s">
        <v>68</v>
      </c>
      <c r="D108" s="109"/>
      <c r="E108" s="108"/>
      <c r="F108" s="108"/>
      <c r="G108" s="118"/>
      <c r="H108" s="111">
        <f>(SUMIF(Services11069747984899499104109114119126131136141146151156161549924293439[Duration],"While homeless only",Services11069747984899499104109114119126131136141146151156161549924293439[Monthly Cost Per Unit]))*12</f>
        <v>0</v>
      </c>
    </row>
    <row r="109" spans="1:8" x14ac:dyDescent="0.25">
      <c r="A109" s="112"/>
      <c r="B109" s="112"/>
      <c r="C109" s="108" t="s">
        <v>63</v>
      </c>
      <c r="D109" s="109"/>
      <c r="E109" s="108"/>
      <c r="F109" s="108"/>
      <c r="G109" s="111"/>
      <c r="H109" s="111">
        <f>(SUMIF(Services11069747984899499104109114119126131136141146151156161549924293439[Duration],"While housed only",Services11069747984899499104109114119126131136141146151156161549924293439[Monthly Cost Per Unit]))*12</f>
        <v>0</v>
      </c>
    </row>
    <row r="110" spans="1:8" x14ac:dyDescent="0.25">
      <c r="A110" s="112"/>
      <c r="B110" s="112"/>
      <c r="C110" s="108" t="s">
        <v>58</v>
      </c>
      <c r="D110" s="109"/>
      <c r="E110" s="108"/>
      <c r="F110" s="108"/>
      <c r="G110" s="111"/>
      <c r="H110" s="111">
        <f>(SUMIF(Services11069747984899499104109114119126131136141146151156161549924293439[Duration],"Homeless &amp; housed",Services11069747984899499104109114119126131136141146151156161549924293439[Monthly Cost Per Unit]))*12</f>
        <v>0</v>
      </c>
    </row>
    <row r="111" spans="1:8" ht="15.75" thickBot="1" x14ac:dyDescent="0.3">
      <c r="A111" s="113"/>
      <c r="B111" s="113"/>
      <c r="C111" s="114" t="s">
        <v>207</v>
      </c>
      <c r="D111" s="115"/>
      <c r="E111" s="114"/>
      <c r="F111" s="114"/>
      <c r="G111" s="117"/>
      <c r="H111" s="117">
        <f>(SUMIF(Services11069747984899499104109114119126131136141146151156161549924293439[Duration],"N/A",Services11069747984899499104109114119126131136141146151156161549924293439[Monthly Cost Per Unit]))*12</f>
        <v>0</v>
      </c>
    </row>
    <row r="112" spans="1:8" ht="16.5" thickTop="1" thickBot="1" x14ac:dyDescent="0.3">
      <c r="A112" s="113"/>
      <c r="B112" s="113"/>
      <c r="C112" s="114" t="s">
        <v>42</v>
      </c>
      <c r="D112" s="115"/>
      <c r="E112" s="114"/>
      <c r="F112" s="114"/>
      <c r="G112" s="117"/>
      <c r="H112" s="117">
        <f>SUM(H108:H111)</f>
        <v>0</v>
      </c>
    </row>
    <row r="113" spans="1:9" ht="15.75" thickTop="1" x14ac:dyDescent="0.25">
      <c r="A113"/>
      <c r="F113"/>
      <c r="G113"/>
      <c r="H113" s="128"/>
    </row>
    <row r="114" spans="1:9" x14ac:dyDescent="0.25">
      <c r="A114" s="274" t="s">
        <v>90</v>
      </c>
      <c r="B114" s="274"/>
      <c r="C114" s="274"/>
      <c r="D114" s="274"/>
      <c r="E114" s="274"/>
      <c r="F114" s="274"/>
      <c r="G114" s="274"/>
      <c r="H114" s="274"/>
    </row>
    <row r="115" spans="1:9" ht="33" customHeight="1" outlineLevel="1" x14ac:dyDescent="0.25">
      <c r="A115" s="294" t="s">
        <v>91</v>
      </c>
      <c r="B115" s="294"/>
      <c r="C115" s="294"/>
      <c r="D115" s="294"/>
      <c r="E115" s="294"/>
      <c r="F115" s="294"/>
      <c r="G115" s="294"/>
      <c r="H115" s="294"/>
    </row>
    <row r="116" spans="1:9" s="3" customFormat="1" ht="28.35" customHeight="1" x14ac:dyDescent="0.25">
      <c r="A116" s="131" t="s">
        <v>51</v>
      </c>
      <c r="B116" s="131" t="s">
        <v>52</v>
      </c>
      <c r="C116" s="131" t="s">
        <v>53</v>
      </c>
      <c r="D116" s="131" t="s">
        <v>54</v>
      </c>
      <c r="E116" s="131" t="s">
        <v>55</v>
      </c>
      <c r="F116" s="131" t="s">
        <v>56</v>
      </c>
      <c r="G116" s="131" t="s">
        <v>57</v>
      </c>
      <c r="H116" s="132" t="s">
        <v>20</v>
      </c>
    </row>
    <row r="117" spans="1:9" x14ac:dyDescent="0.25">
      <c r="A117" s="75"/>
      <c r="B117" s="75"/>
      <c r="C117" s="77"/>
      <c r="D117" s="78"/>
      <c r="E117" s="79"/>
      <c r="F117" s="79"/>
      <c r="G117" s="53" t="e" cm="1">
        <f t="array" ref="G117">_xlfn.IFS(Other1117075808590951001051101151201271321371421471521571625510025303540[[#This Row],[Unit]]="Program-wide",((_xlfn.IFS(Other1117075808590951001051101151201271321371421471521571625510025303540[[#This Row],[Frequency]]="Per Year",Other1117075808590951001051101151201271321371421471521571625510025303540[[#This Row],[Cost]]/12,Other1117075808590951001051101151201271321371421471521571625510025303540[[#This Row],[Frequency]]="Per month",Other1117075808590951001051101151201271321371421471521571625510025303540[[#This Row],[Cost]],Other1117075808590951001051101151201271321371421471521571625510025303540[[#This Row],[Frequency]]="Per day",Other1117075808590951001051101151201271321371421471521571625510025303540[[#This Row],[Cost]]*30,Other1117075808590951001051101151201271321371421471521571625510025303540[[#This Row],[Frequency]]="One-time",Other1117075808590951001051101151201271321371421471521571625510025303540[[#This Row],[Cost]]/SUM($C$18,$C$19)))/$C$17),Other1117075808590951001051101151201271321371421471521571625510025303540[[#This Row],[Unit]]="Per unit/space/household",(_xlfn.IFS(Other1117075808590951001051101151201271321371421471521571625510025303540[[#This Row],[Frequency]]="Per Year",Other1117075808590951001051101151201271321371421471521571625510025303540[[#This Row],[Cost]]/12,Other1117075808590951001051101151201271321371421471521571625510025303540[[#This Row],[Frequency]]="Per month",Other1117075808590951001051101151201271321371421471521571625510025303540[[#This Row],[Cost]],Other1117075808590951001051101151201271321371421471521571625510025303540[[#This Row],[Frequency]]="Per day",Other1117075808590951001051101151201271321371421471521571625510025303540[[#This Row],[Cost]]*30,Other1117075808590951001051101151201271321371421471521571625510025303540[[#This Row],[Frequency]]="One-time",Other1117075808590951001051101151201271321371421471521571625510025303540[[#This Row],[Cost]]/SUM($C$18,$C$19))))</f>
        <v>#N/A</v>
      </c>
      <c r="H117" s="46" t="e">
        <f>Other1117075808590951001051101151201271321371421471521571625510025303540[[#This Row],[Monthly Cost Per Unit]]*12</f>
        <v>#N/A</v>
      </c>
    </row>
    <row r="118" spans="1:9" x14ac:dyDescent="0.25">
      <c r="A118" s="75"/>
      <c r="B118" s="75"/>
      <c r="C118" s="77"/>
      <c r="D118" s="78"/>
      <c r="E118" s="79"/>
      <c r="F118" s="79"/>
      <c r="G118" s="53" t="e" cm="1">
        <f t="array" ref="G118">_xlfn.IFS(Other1117075808590951001051101151201271321371421471521571625510025303540[[#This Row],[Unit]]="Program-wide",((_xlfn.IFS(Other1117075808590951001051101151201271321371421471521571625510025303540[[#This Row],[Frequency]]="Per Year",Other1117075808590951001051101151201271321371421471521571625510025303540[[#This Row],[Cost]]/12,Other1117075808590951001051101151201271321371421471521571625510025303540[[#This Row],[Frequency]]="Per month",Other1117075808590951001051101151201271321371421471521571625510025303540[[#This Row],[Cost]],Other1117075808590951001051101151201271321371421471521571625510025303540[[#This Row],[Frequency]]="Per day",Other1117075808590951001051101151201271321371421471521571625510025303540[[#This Row],[Cost]]*30,Other1117075808590951001051101151201271321371421471521571625510025303540[[#This Row],[Frequency]]="One-time",Other1117075808590951001051101151201271321371421471521571625510025303540[[#This Row],[Cost]]/SUM($C$18,$C$19)))/$C$17),Other1117075808590951001051101151201271321371421471521571625510025303540[[#This Row],[Unit]]="Per unit/space/household",(_xlfn.IFS(Other1117075808590951001051101151201271321371421471521571625510025303540[[#This Row],[Frequency]]="Per Year",Other1117075808590951001051101151201271321371421471521571625510025303540[[#This Row],[Cost]]/12,Other1117075808590951001051101151201271321371421471521571625510025303540[[#This Row],[Frequency]]="Per month",Other1117075808590951001051101151201271321371421471521571625510025303540[[#This Row],[Cost]],Other1117075808590951001051101151201271321371421471521571625510025303540[[#This Row],[Frequency]]="Per day",Other1117075808590951001051101151201271321371421471521571625510025303540[[#This Row],[Cost]]*30,Other1117075808590951001051101151201271321371421471521571625510025303540[[#This Row],[Frequency]]="One-time",Other1117075808590951001051101151201271321371421471521571625510025303540[[#This Row],[Cost]]/SUM($C$18,$C$19))))</f>
        <v>#N/A</v>
      </c>
      <c r="H118" s="46" t="e">
        <f>Other1117075808590951001051101151201271321371421471521571625510025303540[[#This Row],[Monthly Cost Per Unit]]*12</f>
        <v>#N/A</v>
      </c>
    </row>
    <row r="119" spans="1:9" x14ac:dyDescent="0.25">
      <c r="A119" s="75"/>
      <c r="B119" s="75"/>
      <c r="C119" s="77"/>
      <c r="D119" s="78"/>
      <c r="E119" s="79"/>
      <c r="F119" s="79"/>
      <c r="G119" s="53" t="e" cm="1">
        <f t="array" ref="G119">_xlfn.IFS(Other1117075808590951001051101151201271321371421471521571625510025303540[[#This Row],[Unit]]="Program-wide",((_xlfn.IFS(Other1117075808590951001051101151201271321371421471521571625510025303540[[#This Row],[Frequency]]="Per Year",Other1117075808590951001051101151201271321371421471521571625510025303540[[#This Row],[Cost]]/12,Other1117075808590951001051101151201271321371421471521571625510025303540[[#This Row],[Frequency]]="Per month",Other1117075808590951001051101151201271321371421471521571625510025303540[[#This Row],[Cost]],Other1117075808590951001051101151201271321371421471521571625510025303540[[#This Row],[Frequency]]="Per day",Other1117075808590951001051101151201271321371421471521571625510025303540[[#This Row],[Cost]]*30,Other1117075808590951001051101151201271321371421471521571625510025303540[[#This Row],[Frequency]]="One-time",Other1117075808590951001051101151201271321371421471521571625510025303540[[#This Row],[Cost]]/SUM($C$18,$C$19)))/$C$17),Other1117075808590951001051101151201271321371421471521571625510025303540[[#This Row],[Unit]]="Per unit/space/household",(_xlfn.IFS(Other1117075808590951001051101151201271321371421471521571625510025303540[[#This Row],[Frequency]]="Per Year",Other1117075808590951001051101151201271321371421471521571625510025303540[[#This Row],[Cost]]/12,Other1117075808590951001051101151201271321371421471521571625510025303540[[#This Row],[Frequency]]="Per month",Other1117075808590951001051101151201271321371421471521571625510025303540[[#This Row],[Cost]],Other1117075808590951001051101151201271321371421471521571625510025303540[[#This Row],[Frequency]]="Per day",Other1117075808590951001051101151201271321371421471521571625510025303540[[#This Row],[Cost]]*30,Other1117075808590951001051101151201271321371421471521571625510025303540[[#This Row],[Frequency]]="One-time",Other1117075808590951001051101151201271321371421471521571625510025303540[[#This Row],[Cost]]/SUM($C$18,$C$19))))</f>
        <v>#N/A</v>
      </c>
      <c r="H119" s="46" t="e">
        <f>Other1117075808590951001051101151201271321371421471521571625510025303540[[#This Row],[Monthly Cost Per Unit]]*12</f>
        <v>#N/A</v>
      </c>
    </row>
    <row r="120" spans="1:9" x14ac:dyDescent="0.25">
      <c r="A120" s="75"/>
      <c r="B120" s="75"/>
      <c r="C120" s="77"/>
      <c r="D120" s="78"/>
      <c r="E120" s="79"/>
      <c r="F120" s="79"/>
      <c r="G120" s="53" t="e" cm="1">
        <f t="array" ref="G120">_xlfn.IFS(Other1117075808590951001051101151201271321371421471521571625510025303540[[#This Row],[Unit]]="Program-wide",((_xlfn.IFS(Other1117075808590951001051101151201271321371421471521571625510025303540[[#This Row],[Frequency]]="Per Year",Other1117075808590951001051101151201271321371421471521571625510025303540[[#This Row],[Cost]]/12,Other1117075808590951001051101151201271321371421471521571625510025303540[[#This Row],[Frequency]]="Per month",Other1117075808590951001051101151201271321371421471521571625510025303540[[#This Row],[Cost]],Other1117075808590951001051101151201271321371421471521571625510025303540[[#This Row],[Frequency]]="Per day",Other1117075808590951001051101151201271321371421471521571625510025303540[[#This Row],[Cost]]*30,Other1117075808590951001051101151201271321371421471521571625510025303540[[#This Row],[Frequency]]="One-time",Other1117075808590951001051101151201271321371421471521571625510025303540[[#This Row],[Cost]]/SUM($C$18,$C$19)))/$C$17),Other1117075808590951001051101151201271321371421471521571625510025303540[[#This Row],[Unit]]="Per unit/space/household",(_xlfn.IFS(Other1117075808590951001051101151201271321371421471521571625510025303540[[#This Row],[Frequency]]="Per Year",Other1117075808590951001051101151201271321371421471521571625510025303540[[#This Row],[Cost]]/12,Other1117075808590951001051101151201271321371421471521571625510025303540[[#This Row],[Frequency]]="Per month",Other1117075808590951001051101151201271321371421471521571625510025303540[[#This Row],[Cost]],Other1117075808590951001051101151201271321371421471521571625510025303540[[#This Row],[Frequency]]="Per day",Other1117075808590951001051101151201271321371421471521571625510025303540[[#This Row],[Cost]]*30,Other1117075808590951001051101151201271321371421471521571625510025303540[[#This Row],[Frequency]]="One-time",Other1117075808590951001051101151201271321371421471521571625510025303540[[#This Row],[Cost]]/SUM($C$18,$C$19))))</f>
        <v>#N/A</v>
      </c>
      <c r="H120" s="46" t="e">
        <f>Other1117075808590951001051101151201271321371421471521571625510025303540[[#This Row],[Monthly Cost Per Unit]]*12</f>
        <v>#N/A</v>
      </c>
    </row>
    <row r="121" spans="1:9" s="1" customFormat="1" x14ac:dyDescent="0.25">
      <c r="A121" s="80"/>
      <c r="B121" s="80"/>
      <c r="C121" s="82"/>
      <c r="D121" s="83"/>
      <c r="E121" s="84"/>
      <c r="F121" s="84"/>
      <c r="G121" s="55" t="e" cm="1">
        <f t="array" ref="G121">_xlfn.IFS(Other1117075808590951001051101151201271321371421471521571625510025303540[[#This Row],[Unit]]="Program-wide",((_xlfn.IFS(Other1117075808590951001051101151201271321371421471521571625510025303540[[#This Row],[Frequency]]="Per Year",Other1117075808590951001051101151201271321371421471521571625510025303540[[#This Row],[Cost]]/12,Other1117075808590951001051101151201271321371421471521571625510025303540[[#This Row],[Frequency]]="Per month",Other1117075808590951001051101151201271321371421471521571625510025303540[[#This Row],[Cost]],Other1117075808590951001051101151201271321371421471521571625510025303540[[#This Row],[Frequency]]="Per day",Other1117075808590951001051101151201271321371421471521571625510025303540[[#This Row],[Cost]]*30,Other1117075808590951001051101151201271321371421471521571625510025303540[[#This Row],[Frequency]]="One-time",Other1117075808590951001051101151201271321371421471521571625510025303540[[#This Row],[Cost]]/SUM($C$18,$C$19)))/$C$17),Other1117075808590951001051101151201271321371421471521571625510025303540[[#This Row],[Unit]]="Per unit/space/household",(_xlfn.IFS(Other1117075808590951001051101151201271321371421471521571625510025303540[[#This Row],[Frequency]]="Per Year",Other1117075808590951001051101151201271321371421471521571625510025303540[[#This Row],[Cost]]/12,Other1117075808590951001051101151201271321371421471521571625510025303540[[#This Row],[Frequency]]="Per month",Other1117075808590951001051101151201271321371421471521571625510025303540[[#This Row],[Cost]],Other1117075808590951001051101151201271321371421471521571625510025303540[[#This Row],[Frequency]]="Per day",Other1117075808590951001051101151201271321371421471521571625510025303540[[#This Row],[Cost]]*30,Other1117075808590951001051101151201271321371421471521571625510025303540[[#This Row],[Frequency]]="One-time",Other1117075808590951001051101151201271321371421471521571625510025303540[[#This Row],[Cost]]/SUM($C$18,$C$19))))</f>
        <v>#N/A</v>
      </c>
      <c r="H121" s="46" t="e">
        <f>Other1117075808590951001051101151201271321371421471521571625510025303540[[#This Row],[Monthly Cost Per Unit]]*12</f>
        <v>#N/A</v>
      </c>
      <c r="I121"/>
    </row>
    <row r="122" spans="1:9" x14ac:dyDescent="0.25">
      <c r="A122" s="107" t="s">
        <v>20</v>
      </c>
      <c r="B122" s="107"/>
      <c r="C122" s="108" t="s">
        <v>68</v>
      </c>
      <c r="D122" s="109"/>
      <c r="E122" s="108"/>
      <c r="F122" s="108"/>
      <c r="G122" s="118"/>
      <c r="H122" s="111">
        <f>(SUMIF(Other1117075808590951001051101151201271321371421471521571625510025303540[Duration],"While homeless only",Other1117075808590951001051101151201271321371421471521571625510025303540[Monthly Cost Per Unit]))*12</f>
        <v>0</v>
      </c>
    </row>
    <row r="123" spans="1:9" x14ac:dyDescent="0.25">
      <c r="A123" s="112"/>
      <c r="B123" s="112"/>
      <c r="C123" s="108" t="s">
        <v>63</v>
      </c>
      <c r="D123" s="109"/>
      <c r="E123" s="108"/>
      <c r="F123" s="108"/>
      <c r="G123" s="111"/>
      <c r="H123" s="111">
        <f>(SUMIF(Other1117075808590951001051101151201271321371421471521571625510025303540[Duration],"While housed only",Other1117075808590951001051101151201271321371421471521571625510025303540[Monthly Cost Per Unit]))*12</f>
        <v>0</v>
      </c>
    </row>
    <row r="124" spans="1:9" x14ac:dyDescent="0.25">
      <c r="A124" s="112"/>
      <c r="B124" s="112"/>
      <c r="C124" s="108" t="s">
        <v>58</v>
      </c>
      <c r="D124" s="109"/>
      <c r="E124" s="108"/>
      <c r="F124" s="108"/>
      <c r="G124" s="111"/>
      <c r="H124" s="111">
        <f>(SUMIF(Other1117075808590951001051101151201271321371421471521571625510025303540[Duration],"Homeless &amp; housed",Other1117075808590951001051101151201271321371421471521571625510025303540[Monthly Cost Per Unit]))*12</f>
        <v>0</v>
      </c>
    </row>
    <row r="125" spans="1:9" ht="15.75" thickBot="1" x14ac:dyDescent="0.3">
      <c r="A125" s="113"/>
      <c r="B125" s="113"/>
      <c r="C125" s="114" t="s">
        <v>207</v>
      </c>
      <c r="D125" s="115"/>
      <c r="E125" s="114"/>
      <c r="F125" s="114"/>
      <c r="G125" s="117"/>
      <c r="H125" s="117">
        <f>(SUMIF(Other1117075808590951001051101151201271321371421471521571625510025303540[Duration],"N/A",Other1117075808590951001051101151201271321371421471521571625510025303540[Monthly Cost Per Unit]))*12</f>
        <v>0</v>
      </c>
    </row>
    <row r="126" spans="1:9" ht="16.5" thickTop="1" thickBot="1" x14ac:dyDescent="0.3">
      <c r="A126" s="113"/>
      <c r="B126" s="113"/>
      <c r="C126" s="114" t="s">
        <v>42</v>
      </c>
      <c r="D126" s="115"/>
      <c r="E126" s="114"/>
      <c r="F126" s="114"/>
      <c r="G126" s="117"/>
      <c r="H126" s="117">
        <f>SUM(H122:H125)</f>
        <v>0</v>
      </c>
    </row>
    <row r="127" spans="1:9" ht="15.75" thickTop="1" x14ac:dyDescent="0.25"/>
    <row r="128" spans="1:9" x14ac:dyDescent="0.25">
      <c r="A128" s="269" t="s">
        <v>92</v>
      </c>
      <c r="B128" s="269"/>
      <c r="C128" s="269"/>
      <c r="D128" s="269"/>
      <c r="E128" s="269"/>
      <c r="F128" s="269"/>
      <c r="G128" s="269"/>
      <c r="H128" s="269"/>
    </row>
    <row r="129" spans="1:8" x14ac:dyDescent="0.25">
      <c r="A129" s="304" t="s">
        <v>20</v>
      </c>
      <c r="B129" s="147"/>
      <c r="C129" s="108" t="s">
        <v>68</v>
      </c>
      <c r="D129" s="109"/>
      <c r="E129" s="108"/>
      <c r="F129" s="108"/>
      <c r="G129" s="118"/>
      <c r="H129" s="111">
        <f>SUM(H32,H53,H86, H108,H122)</f>
        <v>0</v>
      </c>
    </row>
    <row r="130" spans="1:8" x14ac:dyDescent="0.25">
      <c r="A130" s="305"/>
      <c r="B130" s="148"/>
      <c r="C130" s="108" t="s">
        <v>63</v>
      </c>
      <c r="D130" s="109"/>
      <c r="E130" s="108"/>
      <c r="F130" s="108"/>
      <c r="G130" s="111"/>
      <c r="H130" s="111">
        <f>SUM(H33,H54,H87, H109,H123)</f>
        <v>0</v>
      </c>
    </row>
    <row r="131" spans="1:8" x14ac:dyDescent="0.25">
      <c r="A131" s="305"/>
      <c r="B131" s="148"/>
      <c r="C131" s="108" t="s">
        <v>58</v>
      </c>
      <c r="D131" s="109"/>
      <c r="E131" s="108"/>
      <c r="F131" s="108"/>
      <c r="G131" s="111"/>
      <c r="H131" s="111">
        <f>SUM(H34,H55,H88, H110,H124)</f>
        <v>0</v>
      </c>
    </row>
    <row r="132" spans="1:8" ht="15.75" thickBot="1" x14ac:dyDescent="0.3">
      <c r="A132" s="305"/>
      <c r="B132" s="148"/>
      <c r="C132" s="114" t="s">
        <v>207</v>
      </c>
      <c r="D132" s="115"/>
      <c r="E132" s="114"/>
      <c r="F132" s="114"/>
      <c r="G132" s="117"/>
      <c r="H132" s="149">
        <f>SUM(H35,H56,H89, H111,H125)</f>
        <v>0</v>
      </c>
    </row>
    <row r="133" spans="1:8" ht="16.5" thickTop="1" thickBot="1" x14ac:dyDescent="0.3">
      <c r="A133" s="306"/>
      <c r="B133" s="150"/>
      <c r="C133" s="130" t="s">
        <v>42</v>
      </c>
      <c r="D133" s="130"/>
      <c r="E133" s="130"/>
      <c r="F133" s="130"/>
      <c r="G133" s="151"/>
      <c r="H133" s="117">
        <f>SUM(H36,H57,H90, H112,H126)</f>
        <v>0</v>
      </c>
    </row>
    <row r="134" spans="1:8" ht="15.75" thickTop="1" x14ac:dyDescent="0.25"/>
  </sheetData>
  <sheetProtection sheet="1" formatCells="0" formatColumns="0" formatRows="0" insertRows="0"/>
  <mergeCells count="41">
    <mergeCell ref="A128:H128"/>
    <mergeCell ref="A129:A133"/>
    <mergeCell ref="A25:H25"/>
    <mergeCell ref="A38:H38"/>
    <mergeCell ref="A39:H39"/>
    <mergeCell ref="A59:H59"/>
    <mergeCell ref="A60:H60"/>
    <mergeCell ref="A61:F61"/>
    <mergeCell ref="A62:F62"/>
    <mergeCell ref="A74:F74"/>
    <mergeCell ref="G74:H74"/>
    <mergeCell ref="A75:H75"/>
    <mergeCell ref="A92:H92"/>
    <mergeCell ref="A93:H93"/>
    <mergeCell ref="A114:H114"/>
    <mergeCell ref="A115:H115"/>
    <mergeCell ref="C19:D19"/>
    <mergeCell ref="A16:D16"/>
    <mergeCell ref="A15:D15"/>
    <mergeCell ref="A10:B10"/>
    <mergeCell ref="C10:D10"/>
    <mergeCell ref="A11:B11"/>
    <mergeCell ref="C11:D11"/>
    <mergeCell ref="A12:B12"/>
    <mergeCell ref="C12:D12"/>
    <mergeCell ref="A22:H22"/>
    <mergeCell ref="A24:H24"/>
    <mergeCell ref="A2:H2"/>
    <mergeCell ref="A7:D7"/>
    <mergeCell ref="A9:D9"/>
    <mergeCell ref="F9:G9"/>
    <mergeCell ref="A13:B13"/>
    <mergeCell ref="C13:D13"/>
    <mergeCell ref="A4:D4"/>
    <mergeCell ref="A5:B5"/>
    <mergeCell ref="C5:D5"/>
    <mergeCell ref="A17:B17"/>
    <mergeCell ref="C17:D17"/>
    <mergeCell ref="A18:B18"/>
    <mergeCell ref="C18:D18"/>
    <mergeCell ref="A19:B19"/>
  </mergeCells>
  <dataValidations count="12">
    <dataValidation type="custom" allowBlank="1" showInputMessage="1" showErrorMessage="1" prompt="This would be the amount of time a client is enrolled in the program before they have a housing move-in date in HMIS." sqref="C18:D18" xr:uid="{5AF314C1-9E18-4887-9FD5-F0CC4D680AFE}">
      <formula1>ISNUMBER(VALUE(C18))</formula1>
    </dataValidation>
    <dataValidation type="custom" allowBlank="1" showInputMessage="1" showErrorMessage="1" prompt="This would be the amount of time a client is enrolled in the program after they have a housing move-in date in HMIS." sqref="C19:D19" xr:uid="{9C4EF818-4C07-43BC-BE76-C28AA4DD761C}">
      <formula1>ISNUMBER(VALUE(C19))</formula1>
    </dataValidation>
    <dataValidation allowBlank="1" showInputMessage="1" showErrorMessage="1" prompt="This would be the amount of time a client is enrolled in the program before they have a housing move-in date in HMIS." sqref="A18:B18" xr:uid="{98C0FD5F-9E61-468A-AF29-AD9BCD131B5A}"/>
    <dataValidation allowBlank="1" showInputMessage="1" showErrorMessage="1" prompt="This would be the amount of time a client is enrolled in the program after they have a housing move-in date in HMIS." sqref="A19:B20 D20" xr:uid="{2CDC423C-8A13-4837-B116-CC4C2865F99F}"/>
    <dataValidation allowBlank="1" showInputMessage="1" showErrorMessage="1" prompt="This column is auto-calculated based on the average rental cost and average utility cost per unit information." sqref="F63:F72" xr:uid="{2B793C5C-0E6E-4F09-8191-0E1E4E6AA2AD}"/>
    <dataValidation allowBlank="1" showInputMessage="1" showErrorMessage="1" prompt="This field required a selection from a drop-down menu. To find this menu, click on the cell and click the down arrow on the right-hand of the cell. " sqref="C26 C40 C76 C94 C116" xr:uid="{045B19CE-7F9F-4A8A-8991-4CAE0702C241}"/>
    <dataValidation allowBlank="1" showInputMessage="1" showErrorMessage="1" prompt="This field required a selection from a drop-down menu. To find this menu, click on the cell and click the down arrow on the right-hand of the cell." sqref="E26:F26 E40:F40 E76:F76 E94:F94 E116:F116" xr:uid="{E4E909DA-E4EC-4B7E-AE79-DE822D1F0801}"/>
    <dataValidation allowBlank="1" showInputMessage="1" showErrorMessage="1" prompt="_x000a_" sqref="G13" xr:uid="{25816134-4B1A-476F-922F-75C56AAF1AD1}"/>
    <dataValidation type="custom" allowBlank="1" showInputMessage="1" showErrorMessage="1" sqref="D27:D31 D41:D52 D77:D85 D95:D107 D117:D121 B64:E71" xr:uid="{AAB8494F-D594-4E35-A039-1B712CDA25C9}">
      <formula1>ISNUMBER(VALUE(B27))</formula1>
    </dataValidation>
    <dataValidation allowBlank="1" showErrorMessage="1" sqref="C20 F14:G14" xr:uid="{E12942EB-E80E-46D1-AEC7-6293A16DC752}"/>
    <dataValidation allowBlank="1" showInputMessage="1" showErrorMessage="1" prompt="Project capacity is the number of units available at a point in time. Depending on the project type, a unit may represent a rental subsidy, a room or bed in a congregate setting, a motel room, a supportive services slot, etc." sqref="A17:B17" xr:uid="{A66E8C8A-9025-47C0-89C7-17AA4073C357}"/>
    <dataValidation type="custom" allowBlank="1" showInputMessage="1" showErrorMessage="1" prompt="Project capacity is the number of units available at a point in time. Depending on the project type, a unit may represent a rental subsidy, a room or bed in a congregate setting, a motel room, a supportive services slot, etc." sqref="C17:D17" xr:uid="{99BBE5C7-4419-490A-B67A-90669D806876}">
      <formula1>ISNUMBER(VALUE(C17))</formula1>
    </dataValidation>
  </dataValidations>
  <pageMargins left="0.7" right="0.7" top="0.75" bottom="0.75" header="0.3" footer="0.3"/>
  <pageSetup orientation="portrait" horizontalDpi="90" verticalDpi="90" r:id="rId1"/>
  <tableParts count="5">
    <tablePart r:id="rId2"/>
    <tablePart r:id="rId3"/>
    <tablePart r:id="rId4"/>
    <tablePart r:id="rId5"/>
    <tablePart r:id="rId6"/>
  </tableParts>
  <extLst>
    <ext xmlns:x14="http://schemas.microsoft.com/office/spreadsheetml/2009/9/main" uri="{CCE6A557-97BC-4b89-ADB6-D9C93CAAB3DF}">
      <x14:dataValidations xmlns:xm="http://schemas.microsoft.com/office/excel/2006/main" count="9">
        <x14:dataValidation type="list" allowBlank="1" showInputMessage="1" showErrorMessage="1" prompt="This field required a selection from a drop-down menu. To find this menu, click on the cell and click the down arrow on the right-hand of the cell. " xr:uid="{FB9CA697-DC46-4484-BE7F-3559F562096E}">
          <x14:formula1>
            <xm:f>Allowable!$E$2:$E$4</xm:f>
          </x14:formula1>
          <xm:sqref>C117:C121 C95:C107 C77:C85</xm:sqref>
        </x14:dataValidation>
        <x14:dataValidation type="list" allowBlank="1" showInputMessage="1" showErrorMessage="1" xr:uid="{41379E9B-FB8D-4E70-A0B9-477FF884CFF4}">
          <x14:formula1>
            <xm:f>Allowable!$B$2:$B$3</xm:f>
          </x14:formula1>
          <xm:sqref>F58</xm:sqref>
        </x14:dataValidation>
        <x14:dataValidation type="list" allowBlank="1" showInputMessage="1" showErrorMessage="1" xr:uid="{480204B1-9D51-4F6B-A352-67FEB806E8E6}">
          <x14:formula1>
            <xm:f>Allowable!$A$2:$A$5</xm:f>
          </x14:formula1>
          <xm:sqref>E58</xm:sqref>
        </x14:dataValidation>
        <x14:dataValidation type="list" allowBlank="1" showInputMessage="1" showErrorMessage="1" prompt="This field required a selection from a drop-down menu. To find this menu, click on the cell and click the down arrow on the right-hand of the cell." xr:uid="{D7B20C63-CD2F-4C08-907A-5A06FBFA7B5C}">
          <x14:formula1>
            <xm:f>Allowable!$A$2:$A$5</xm:f>
          </x14:formula1>
          <xm:sqref>E27:E31 E41:E52</xm:sqref>
        </x14:dataValidation>
        <x14:dataValidation type="list" allowBlank="1" showInputMessage="1" showErrorMessage="1" prompt="This field required a selection from a drop-down menu. To find this menu, click on the cell and click the down arrow on the right-hand of the cell. " xr:uid="{993EE30B-B74B-4C69-A3B9-4BD706F0ECD5}">
          <x14:formula1>
            <xm:f>Allowable!$A$2:$A$5</xm:f>
          </x14:formula1>
          <xm:sqref>E41:E52 E77:E85 E95:E107 E117:E121</xm:sqref>
        </x14:dataValidation>
        <x14:dataValidation type="list" allowBlank="1" showInputMessage="1" showErrorMessage="1" prompt="This field required a selection from a drop-down menu. To find this menu, click on the cell and click the down arrow on the right-hand of the cell. " xr:uid="{28DC26DD-C77E-4553-804C-8D785263EF92}">
          <x14:formula1>
            <xm:f>Allowable!$B$2:$B$3</xm:f>
          </x14:formula1>
          <xm:sqref>F41:F52 F77:F85 F95:F107 F117:F121</xm:sqref>
        </x14:dataValidation>
        <x14:dataValidation type="list" allowBlank="1" showInputMessage="1" showErrorMessage="1" prompt="This field required a selection from a drop-down menu. To find this menu, click on the cell and click the down arrow on the right-hand of the cell." xr:uid="{54DDE92D-C972-4EB9-9AC2-02D96698FA7D}">
          <x14:formula1>
            <xm:f>Allowable!$B$2:$B$3</xm:f>
          </x14:formula1>
          <xm:sqref>F27:F31</xm:sqref>
        </x14:dataValidation>
        <x14:dataValidation type="list" allowBlank="1" showInputMessage="1" showErrorMessage="1" xr:uid="{9CF27307-EAE5-4E4C-B514-7E25EA101F84}">
          <x14:formula1>
            <xm:f>Allowable!$D$2:$D$13</xm:f>
          </x14:formula1>
          <xm:sqref>C11:D11</xm:sqref>
        </x14:dataValidation>
        <x14:dataValidation type="list" allowBlank="1" showInputMessage="1" showErrorMessage="1" prompt="This field required a selection from a drop-down menu. To find this menu, click on the cell and click the down arrow on the right-hand of the cell. " xr:uid="{3CD09D6B-79A4-4F1D-9FD0-A87F647B8078}">
          <x14:formula1>
            <xm:f>Allowable!$E$2:$E$5</xm:f>
          </x14:formula1>
          <xm:sqref>C27:C31 C41:C52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7E4F5-77C1-445D-897A-6588189A4587}">
  <sheetPr>
    <tabColor theme="8" tint="0.79998168889431442"/>
  </sheetPr>
  <dimension ref="A2:I134"/>
  <sheetViews>
    <sheetView showGridLines="0" zoomScaleNormal="100" workbookViewId="0">
      <selection activeCell="F9" sqref="F9:G9"/>
    </sheetView>
  </sheetViews>
  <sheetFormatPr defaultColWidth="8.7109375" defaultRowHeight="15" outlineLevelRow="1" x14ac:dyDescent="0.25"/>
  <cols>
    <col min="1" max="1" width="27.140625" style="3" customWidth="1"/>
    <col min="2" max="2" width="21.140625" customWidth="1"/>
    <col min="3" max="3" width="18.5703125" customWidth="1"/>
    <col min="4" max="5" width="14.42578125" customWidth="1"/>
    <col min="6" max="6" width="22.85546875" style="128" customWidth="1"/>
    <col min="7" max="7" width="13.5703125" style="128" customWidth="1"/>
    <col min="8" max="8" width="13.140625" customWidth="1"/>
    <col min="9" max="9" width="10.5703125" customWidth="1"/>
    <col min="10" max="10" width="10.42578125" customWidth="1"/>
    <col min="11" max="11" width="22.5703125" customWidth="1"/>
    <col min="12" max="12" width="14.85546875" customWidth="1"/>
  </cols>
  <sheetData>
    <row r="2" spans="1:8" ht="26.25" x14ac:dyDescent="0.4">
      <c r="A2" s="288" t="str">
        <f>CONCATENATE("Comparable Projects for ", 'Model Project Type'!D10, " Cost Assumptions")</f>
        <v>Comparable Projects for  Cost Assumptions</v>
      </c>
      <c r="B2" s="288"/>
      <c r="C2" s="288"/>
      <c r="D2" s="288"/>
      <c r="E2" s="288"/>
      <c r="F2" s="288"/>
      <c r="G2" s="288"/>
      <c r="H2" s="288"/>
    </row>
    <row r="3" spans="1:8" ht="19.5" customHeight="1" x14ac:dyDescent="0.25"/>
    <row r="4" spans="1:8" ht="26.1" customHeight="1" x14ac:dyDescent="0.4">
      <c r="A4" s="273" t="s">
        <v>1</v>
      </c>
      <c r="B4" s="273"/>
      <c r="C4" s="273"/>
      <c r="D4" s="273"/>
    </row>
    <row r="5" spans="1:8" ht="30.6" customHeight="1" x14ac:dyDescent="0.25">
      <c r="A5" s="292" t="s">
        <v>109</v>
      </c>
      <c r="B5" s="292"/>
      <c r="C5" s="293" t="str">
        <f>IF('Model Project Type'!D10 = 0, " ", 'Model Project Type'!D10)</f>
        <v xml:space="preserve"> </v>
      </c>
      <c r="D5" s="293"/>
    </row>
    <row r="6" spans="1:8" ht="20.100000000000001" customHeight="1" x14ac:dyDescent="0.25">
      <c r="A6"/>
      <c r="F6"/>
      <c r="G6"/>
    </row>
    <row r="7" spans="1:8" ht="26.1" customHeight="1" x14ac:dyDescent="0.4">
      <c r="A7" s="273" t="s">
        <v>35</v>
      </c>
      <c r="B7" s="273"/>
      <c r="C7" s="273"/>
      <c r="D7" s="273"/>
    </row>
    <row r="8" spans="1:8" ht="5.45" customHeight="1" x14ac:dyDescent="0.4">
      <c r="A8" s="36"/>
      <c r="B8" s="36"/>
      <c r="C8" s="36"/>
      <c r="D8" s="36"/>
      <c r="F8" s="129"/>
      <c r="G8" s="129"/>
    </row>
    <row r="9" spans="1:8" ht="20.100000000000001" customHeight="1" x14ac:dyDescent="0.25">
      <c r="A9" s="289" t="s">
        <v>36</v>
      </c>
      <c r="B9" s="289"/>
      <c r="C9" s="289"/>
      <c r="D9" s="289"/>
      <c r="F9" s="308" t="s">
        <v>37</v>
      </c>
      <c r="G9" s="308"/>
    </row>
    <row r="10" spans="1:8" ht="19.7" customHeight="1" x14ac:dyDescent="0.25">
      <c r="A10" s="290" t="s">
        <v>38</v>
      </c>
      <c r="B10" s="290"/>
      <c r="C10" s="311"/>
      <c r="D10" s="311"/>
      <c r="F10" s="108" t="s">
        <v>68</v>
      </c>
      <c r="G10" s="111">
        <f>H129</f>
        <v>0</v>
      </c>
    </row>
    <row r="11" spans="1:8" ht="19.7" customHeight="1" x14ac:dyDescent="0.25">
      <c r="A11" s="286" t="s">
        <v>39</v>
      </c>
      <c r="B11" s="286"/>
      <c r="C11" s="310"/>
      <c r="D11" s="310"/>
      <c r="F11" s="108" t="s">
        <v>63</v>
      </c>
      <c r="G11" s="111">
        <f>H130</f>
        <v>0</v>
      </c>
    </row>
    <row r="12" spans="1:8" ht="19.7" customHeight="1" x14ac:dyDescent="0.25">
      <c r="A12" s="287" t="s">
        <v>40</v>
      </c>
      <c r="B12" s="287"/>
      <c r="C12" s="307"/>
      <c r="D12" s="307"/>
      <c r="F12" s="108" t="s">
        <v>58</v>
      </c>
      <c r="G12" s="111">
        <f>H131</f>
        <v>0</v>
      </c>
    </row>
    <row r="13" spans="1:8" ht="19.7" customHeight="1" thickBot="1" x14ac:dyDescent="0.3">
      <c r="A13" s="286" t="s">
        <v>41</v>
      </c>
      <c r="B13" s="286"/>
      <c r="C13" s="307"/>
      <c r="D13" s="307"/>
      <c r="F13" s="114" t="s">
        <v>207</v>
      </c>
      <c r="G13" s="117">
        <f>H132</f>
        <v>0</v>
      </c>
    </row>
    <row r="14" spans="1:8" ht="19.7" customHeight="1" thickTop="1" thickBot="1" x14ac:dyDescent="0.3">
      <c r="A14" s="7"/>
      <c r="B14" s="40"/>
      <c r="C14" s="35"/>
      <c r="D14" s="34"/>
      <c r="F14" s="130" t="s">
        <v>42</v>
      </c>
      <c r="G14" s="117">
        <f>H133</f>
        <v>0</v>
      </c>
    </row>
    <row r="15" spans="1:8" ht="19.7" customHeight="1" thickTop="1" x14ac:dyDescent="0.25">
      <c r="A15" s="280" t="s">
        <v>43</v>
      </c>
      <c r="B15" s="280"/>
      <c r="C15" s="280"/>
      <c r="D15" s="280"/>
    </row>
    <row r="16" spans="1:8" ht="44.45" customHeight="1" x14ac:dyDescent="0.25">
      <c r="A16" s="281" t="s">
        <v>44</v>
      </c>
      <c r="B16" s="282"/>
      <c r="C16" s="282"/>
      <c r="D16" s="282"/>
    </row>
    <row r="17" spans="1:9" ht="18.600000000000001" customHeight="1" x14ac:dyDescent="0.25">
      <c r="A17" s="283" t="s">
        <v>45</v>
      </c>
      <c r="B17" s="283"/>
      <c r="C17" s="309"/>
      <c r="D17" s="309"/>
    </row>
    <row r="18" spans="1:9" ht="44.45" customHeight="1" x14ac:dyDescent="0.25">
      <c r="A18" s="275" t="s">
        <v>46</v>
      </c>
      <c r="B18" s="275"/>
      <c r="C18" s="310"/>
      <c r="D18" s="310"/>
    </row>
    <row r="19" spans="1:9" ht="44.45" customHeight="1" x14ac:dyDescent="0.25">
      <c r="A19" s="275" t="s">
        <v>47</v>
      </c>
      <c r="B19" s="275"/>
      <c r="C19" s="307"/>
      <c r="D19" s="307"/>
    </row>
    <row r="20" spans="1:9" ht="14.1" customHeight="1" x14ac:dyDescent="0.25">
      <c r="A20" s="33"/>
      <c r="B20" s="33"/>
      <c r="C20" s="39"/>
      <c r="D20" s="35"/>
    </row>
    <row r="21" spans="1:9" ht="17.45" customHeight="1" x14ac:dyDescent="0.25">
      <c r="A21" s="4"/>
      <c r="B21" s="4"/>
      <c r="C21" s="35"/>
      <c r="D21" s="35"/>
    </row>
    <row r="22" spans="1:9" ht="21" customHeight="1" x14ac:dyDescent="0.4">
      <c r="A22" s="277" t="s">
        <v>48</v>
      </c>
      <c r="B22" s="277"/>
      <c r="C22" s="277"/>
      <c r="D22" s="277"/>
      <c r="E22" s="277"/>
      <c r="F22" s="277"/>
      <c r="G22" s="277"/>
      <c r="H22" s="277"/>
    </row>
    <row r="23" spans="1:9" ht="6.6" customHeight="1" x14ac:dyDescent="0.25">
      <c r="A23" s="32"/>
      <c r="B23" s="30"/>
      <c r="C23" s="30"/>
      <c r="D23" s="30"/>
      <c r="F23" s="129"/>
      <c r="G23" s="129"/>
    </row>
    <row r="24" spans="1:9" x14ac:dyDescent="0.25">
      <c r="A24" s="274" t="s">
        <v>49</v>
      </c>
      <c r="B24" s="274"/>
      <c r="C24" s="274"/>
      <c r="D24" s="274"/>
      <c r="E24" s="274"/>
      <c r="F24" s="274"/>
      <c r="G24" s="274"/>
      <c r="H24" s="274"/>
    </row>
    <row r="25" spans="1:9" ht="30.75" customHeight="1" outlineLevel="1" x14ac:dyDescent="0.25">
      <c r="A25" s="294" t="s">
        <v>50</v>
      </c>
      <c r="B25" s="294"/>
      <c r="C25" s="294"/>
      <c r="D25" s="294"/>
      <c r="E25" s="294"/>
      <c r="F25" s="294"/>
      <c r="G25" s="294"/>
      <c r="H25" s="294"/>
    </row>
    <row r="26" spans="1:9" s="3" customFormat="1" ht="28.35" customHeight="1" x14ac:dyDescent="0.25">
      <c r="A26" s="131" t="s">
        <v>51</v>
      </c>
      <c r="B26" s="131" t="s">
        <v>52</v>
      </c>
      <c r="C26" s="131" t="s">
        <v>53</v>
      </c>
      <c r="D26" s="131" t="s">
        <v>54</v>
      </c>
      <c r="E26" s="131" t="s">
        <v>55</v>
      </c>
      <c r="F26" s="131" t="s">
        <v>56</v>
      </c>
      <c r="G26" s="131" t="s">
        <v>57</v>
      </c>
      <c r="H26" s="132" t="s">
        <v>20</v>
      </c>
    </row>
    <row r="27" spans="1:9" x14ac:dyDescent="0.25">
      <c r="A27" s="75"/>
      <c r="B27" s="76"/>
      <c r="C27" s="77"/>
      <c r="D27" s="78"/>
      <c r="E27" s="79"/>
      <c r="F27" s="79"/>
      <c r="G27" s="53" t="e" cm="1">
        <f t="array" ref="G27">_xlfn.IFS(Administrative176671768186919610110611111612312813313814314815315851962126313641[[#This Row],[Unit]]="Program-wide",((_xlfn.IFS(Administrative176671768186919610110611111612312813313814314815315851962126313641[[#This Row],[Frequency]]="Per Year",Administrative176671768186919610110611111612312813313814314815315851962126313641[[#This Row],[Cost]]/12,Administrative176671768186919610110611111612312813313814314815315851962126313641[[#This Row],[Frequency]]="Per month",Administrative176671768186919610110611111612312813313814314815315851962126313641[[#This Row],[Cost]],Administrative176671768186919610110611111612312813313814314815315851962126313641[[#This Row],[Frequency]]="Per day",Administrative176671768186919610110611111612312813313814314815315851962126313641[[#This Row],[Cost]]*30,Administrative176671768186919610110611111612312813313814314815315851962126313641[[#This Row],[Frequency]]="One-time",Administrative176671768186919610110611111612312813313814314815315851962126313641[[#This Row],[Cost]]/SUM(C18,C19)))/$C$17),Administrative176671768186919610110611111612312813313814314815315851962126313641[[#This Row],[Unit]]="Per unit/space/household",(_xlfn.IFS(Administrative176671768186919610110611111612312813313814314815315851962126313641[[#This Row],[Frequency]]="Per Year",Administrative176671768186919610110611111612312813313814314815315851962126313641[[#This Row],[Cost]]/12,Administrative176671768186919610110611111612312813313814314815315851962126313641[[#This Row],[Frequency]]="Per month",Administrative176671768186919610110611111612312813313814314815315851962126313641[[#This Row],[Cost]],Administrative176671768186919610110611111612312813313814314815315851962126313641[[#This Row],[Frequency]]="Per day",Administrative176671768186919610110611111612312813313814314815315851962126313641[[#This Row],[Cost]]*30,Administrative176671768186919610110611111612312813313814314815315851962126313641[[#This Row],[Frequency]]="One-time",Administrative176671768186919610110611111612312813313814314815315851962126313641[[#This Row],[Cost]]/SUM($C$18,$C$19))))</f>
        <v>#N/A</v>
      </c>
      <c r="H27" s="46" t="e">
        <f>Administrative176671768186919610110611111612312813313814314815315851962126313641[[#This Row],[Monthly Cost Per Unit]]*12</f>
        <v>#N/A</v>
      </c>
    </row>
    <row r="28" spans="1:9" x14ac:dyDescent="0.25">
      <c r="A28" s="75"/>
      <c r="B28" s="76"/>
      <c r="C28" s="77"/>
      <c r="D28" s="78"/>
      <c r="E28" s="79"/>
      <c r="F28" s="79"/>
      <c r="G28" s="53" t="e" cm="1">
        <f t="array" ref="G28">_xlfn.IFS(Administrative176671768186919610110611111612312813313814314815315851962126313641[[#This Row],[Unit]]="Program-wide",((_xlfn.IFS(Administrative176671768186919610110611111612312813313814314815315851962126313641[[#This Row],[Frequency]]="Per Year",Administrative176671768186919610110611111612312813313814314815315851962126313641[[#This Row],[Cost]]/12,Administrative176671768186919610110611111612312813313814314815315851962126313641[[#This Row],[Frequency]]="Per month",Administrative176671768186919610110611111612312813313814314815315851962126313641[[#This Row],[Cost]],Administrative176671768186919610110611111612312813313814314815315851962126313641[[#This Row],[Frequency]]="Per day",Administrative176671768186919610110611111612312813313814314815315851962126313641[[#This Row],[Cost]]*30,Administrative176671768186919610110611111612312813313814314815315851962126313641[[#This Row],[Frequency]]="One-time",Administrative176671768186919610110611111612312813313814314815315851962126313641[[#This Row],[Cost]]/SUM(C18,C19)))/$C$17),Administrative176671768186919610110611111612312813313814314815315851962126313641[[#This Row],[Unit]]="Per unit/space/household",(_xlfn.IFS(Administrative176671768186919610110611111612312813313814314815315851962126313641[[#This Row],[Frequency]]="Per Year",Administrative176671768186919610110611111612312813313814314815315851962126313641[[#This Row],[Cost]]/12,Administrative176671768186919610110611111612312813313814314815315851962126313641[[#This Row],[Frequency]]="Per month",Administrative176671768186919610110611111612312813313814314815315851962126313641[[#This Row],[Cost]],Administrative176671768186919610110611111612312813313814314815315851962126313641[[#This Row],[Frequency]]="Per day",Administrative176671768186919610110611111612312813313814314815315851962126313641[[#This Row],[Cost]]*30,Administrative176671768186919610110611111612312813313814314815315851962126313641[[#This Row],[Frequency]]="One-time",Administrative176671768186919610110611111612312813313814314815315851962126313641[[#This Row],[Cost]]/SUM($C$18,$C$19))))</f>
        <v>#N/A</v>
      </c>
      <c r="H28" s="46" t="e">
        <f>Administrative176671768186919610110611111612312813313814314815315851962126313641[[#This Row],[Monthly Cost Per Unit]]*12</f>
        <v>#N/A</v>
      </c>
    </row>
    <row r="29" spans="1:9" x14ac:dyDescent="0.25">
      <c r="A29" s="75"/>
      <c r="B29" s="76"/>
      <c r="C29" s="77"/>
      <c r="D29" s="78"/>
      <c r="E29" s="79"/>
      <c r="F29" s="79"/>
      <c r="G29" s="53" t="e" cm="1">
        <f t="array" ref="G29">_xlfn.IFS(Administrative176671768186919610110611111612312813313814314815315851962126313641[[#This Row],[Unit]]="Program-wide",((_xlfn.IFS(Administrative176671768186919610110611111612312813313814314815315851962126313641[[#This Row],[Frequency]]="Per Year",Administrative176671768186919610110611111612312813313814314815315851962126313641[[#This Row],[Cost]]/12,Administrative176671768186919610110611111612312813313814314815315851962126313641[[#This Row],[Frequency]]="Per month",Administrative176671768186919610110611111612312813313814314815315851962126313641[[#This Row],[Cost]],Administrative176671768186919610110611111612312813313814314815315851962126313641[[#This Row],[Frequency]]="Per day",Administrative176671768186919610110611111612312813313814314815315851962126313641[[#This Row],[Cost]]*30,Administrative176671768186919610110611111612312813313814314815315851962126313641[[#This Row],[Frequency]]="One-time",Administrative176671768186919610110611111612312813313814314815315851962126313641[[#This Row],[Cost]]/SUM(C18,C19)))/$C$17),Administrative176671768186919610110611111612312813313814314815315851962126313641[[#This Row],[Unit]]="Per unit/space/household",(_xlfn.IFS(Administrative176671768186919610110611111612312813313814314815315851962126313641[[#This Row],[Frequency]]="Per Year",Administrative176671768186919610110611111612312813313814314815315851962126313641[[#This Row],[Cost]]/12,Administrative176671768186919610110611111612312813313814314815315851962126313641[[#This Row],[Frequency]]="Per month",Administrative176671768186919610110611111612312813313814314815315851962126313641[[#This Row],[Cost]],Administrative176671768186919610110611111612312813313814314815315851962126313641[[#This Row],[Frequency]]="Per day",Administrative176671768186919610110611111612312813313814314815315851962126313641[[#This Row],[Cost]]*30,Administrative176671768186919610110611111612312813313814314815315851962126313641[[#This Row],[Frequency]]="One-time",Administrative176671768186919610110611111612312813313814314815315851962126313641[[#This Row],[Cost]]/SUM($C$18,$C$19))))</f>
        <v>#N/A</v>
      </c>
      <c r="H29" s="46" t="e">
        <f>Administrative176671768186919610110611111612312813313814314815315851962126313641[[#This Row],[Monthly Cost Per Unit]]*12</f>
        <v>#N/A</v>
      </c>
    </row>
    <row r="30" spans="1:9" x14ac:dyDescent="0.25">
      <c r="A30" s="75"/>
      <c r="B30" s="76"/>
      <c r="C30" s="77"/>
      <c r="D30" s="78"/>
      <c r="E30" s="79"/>
      <c r="F30" s="79"/>
      <c r="G30" s="53" t="e" cm="1">
        <f t="array" ref="G30">_xlfn.IFS(Administrative176671768186919610110611111612312813313814314815315851962126313641[[#This Row],[Unit]]="Program-wide",((_xlfn.IFS(Administrative176671768186919610110611111612312813313814314815315851962126313641[[#This Row],[Frequency]]="Per Year",Administrative176671768186919610110611111612312813313814314815315851962126313641[[#This Row],[Cost]]/12,Administrative176671768186919610110611111612312813313814314815315851962126313641[[#This Row],[Frequency]]="Per month",Administrative176671768186919610110611111612312813313814314815315851962126313641[[#This Row],[Cost]],Administrative176671768186919610110611111612312813313814314815315851962126313641[[#This Row],[Frequency]]="Per day",Administrative176671768186919610110611111612312813313814314815315851962126313641[[#This Row],[Cost]]*30,Administrative176671768186919610110611111612312813313814314815315851962126313641[[#This Row],[Frequency]]="One-time",Administrative176671768186919610110611111612312813313814314815315851962126313641[[#This Row],[Cost]]/SUM(C18,C19)))/$C$17),Administrative176671768186919610110611111612312813313814314815315851962126313641[[#This Row],[Unit]]="Per unit/space/household",(_xlfn.IFS(Administrative176671768186919610110611111612312813313814314815315851962126313641[[#This Row],[Frequency]]="Per Year",Administrative176671768186919610110611111612312813313814314815315851962126313641[[#This Row],[Cost]]/12,Administrative176671768186919610110611111612312813313814314815315851962126313641[[#This Row],[Frequency]]="Per month",Administrative176671768186919610110611111612312813313814314815315851962126313641[[#This Row],[Cost]],Administrative176671768186919610110611111612312813313814314815315851962126313641[[#This Row],[Frequency]]="Per day",Administrative176671768186919610110611111612312813313814314815315851962126313641[[#This Row],[Cost]]*30,Administrative176671768186919610110611111612312813313814314815315851962126313641[[#This Row],[Frequency]]="One-time",Administrative176671768186919610110611111612312813313814314815315851962126313641[[#This Row],[Cost]]/SUM($C$18,$C$19))))</f>
        <v>#N/A</v>
      </c>
      <c r="H30" s="46" t="e">
        <f>Administrative176671768186919610110611111612312813313814314815315851962126313641[[#This Row],[Monthly Cost Per Unit]]*12</f>
        <v>#N/A</v>
      </c>
    </row>
    <row r="31" spans="1:9" s="1" customFormat="1" x14ac:dyDescent="0.25">
      <c r="A31" s="80"/>
      <c r="B31" s="81"/>
      <c r="C31" s="82"/>
      <c r="D31" s="83"/>
      <c r="E31" s="84"/>
      <c r="F31" s="84"/>
      <c r="G31" s="54" t="e" cm="1">
        <f t="array" ref="G31">_xlfn.IFS(Administrative176671768186919610110611111612312813313814314815315851962126313641[[#This Row],[Unit]]="Program-wide",((_xlfn.IFS(Administrative176671768186919610110611111612312813313814314815315851962126313641[[#This Row],[Frequency]]="Per Year",Administrative176671768186919610110611111612312813313814314815315851962126313641[[#This Row],[Cost]]/12,Administrative176671768186919610110611111612312813313814314815315851962126313641[[#This Row],[Frequency]]="Per month",Administrative176671768186919610110611111612312813313814314815315851962126313641[[#This Row],[Cost]],Administrative176671768186919610110611111612312813313814314815315851962126313641[[#This Row],[Frequency]]="Per day",Administrative176671768186919610110611111612312813313814314815315851962126313641[[#This Row],[Cost]]*30,Administrative176671768186919610110611111612312813313814314815315851962126313641[[#This Row],[Frequency]]="One-time",Administrative176671768186919610110611111612312813313814314815315851962126313641[[#This Row],[Cost]]/SUM(C18,C19)))/$C$17),Administrative176671768186919610110611111612312813313814314815315851962126313641[[#This Row],[Unit]]="Per unit/space/household",(_xlfn.IFS(Administrative176671768186919610110611111612312813313814314815315851962126313641[[#This Row],[Frequency]]="Per Year",Administrative176671768186919610110611111612312813313814314815315851962126313641[[#This Row],[Cost]]/12,Administrative176671768186919610110611111612312813313814314815315851962126313641[[#This Row],[Frequency]]="Per month",Administrative176671768186919610110611111612312813313814314815315851962126313641[[#This Row],[Cost]],Administrative176671768186919610110611111612312813313814314815315851962126313641[[#This Row],[Frequency]]="Per day",Administrative176671768186919610110611111612312813313814314815315851962126313641[[#This Row],[Cost]]*30,Administrative176671768186919610110611111612312813313814314815315851962126313641[[#This Row],[Frequency]]="One-time",Administrative176671768186919610110611111612312813313814314815315851962126313641[[#This Row],[Cost]]/SUM($C$18,$C$19))))</f>
        <v>#N/A</v>
      </c>
      <c r="H31" s="46" t="e">
        <f>Administrative176671768186919610110611111612312813313814314815315851962126313641[[#This Row],[Monthly Cost Per Unit]]*12</f>
        <v>#N/A</v>
      </c>
      <c r="I31"/>
    </row>
    <row r="32" spans="1:9" x14ac:dyDescent="0.25">
      <c r="A32" s="107" t="s">
        <v>20</v>
      </c>
      <c r="B32" s="107"/>
      <c r="C32" s="108" t="s">
        <v>68</v>
      </c>
      <c r="D32" s="109"/>
      <c r="E32" s="108"/>
      <c r="F32" s="108"/>
      <c r="G32" s="110"/>
      <c r="H32" s="111">
        <f>(SUMIF(Administrative176671768186919610110611111612312813313814314815315851962126313641[Duration],"While homeless only",Administrative176671768186919610110611111612312813313814314815315851962126313641[Monthly Cost Per Unit]))*12</f>
        <v>0</v>
      </c>
    </row>
    <row r="33" spans="1:8" x14ac:dyDescent="0.25">
      <c r="A33" s="112"/>
      <c r="B33" s="112"/>
      <c r="C33" s="108" t="s">
        <v>63</v>
      </c>
      <c r="D33" s="109"/>
      <c r="E33" s="108"/>
      <c r="F33" s="108"/>
      <c r="G33" s="110"/>
      <c r="H33" s="111">
        <f>(SUMIF(Administrative176671768186919610110611111612312813313814314815315851962126313641[Duration],"While housed only",Administrative176671768186919610110611111612312813313814314815315851962126313641[Monthly Cost Per Unit]))*12</f>
        <v>0</v>
      </c>
    </row>
    <row r="34" spans="1:8" x14ac:dyDescent="0.25">
      <c r="A34" s="112"/>
      <c r="B34" s="112"/>
      <c r="C34" s="108" t="s">
        <v>58</v>
      </c>
      <c r="D34" s="109"/>
      <c r="E34" s="108"/>
      <c r="F34" s="108"/>
      <c r="G34" s="110"/>
      <c r="H34" s="111">
        <f>(SUMIF(Administrative176671768186919610110611111612312813313814314815315851962126313641[Duration],"Homeless &amp; housed",Administrative176671768186919610110611111612312813313814314815315851962126313641[Monthly Cost Per Unit]))*12</f>
        <v>0</v>
      </c>
    </row>
    <row r="35" spans="1:8" ht="15.75" thickBot="1" x14ac:dyDescent="0.3">
      <c r="A35" s="113"/>
      <c r="B35" s="113"/>
      <c r="C35" s="114" t="s">
        <v>207</v>
      </c>
      <c r="D35" s="115"/>
      <c r="E35" s="114"/>
      <c r="F35" s="114"/>
      <c r="G35" s="116"/>
      <c r="H35" s="117">
        <f>(SUMIF(Administrative176671768186919610110611111612312813313814314815315851962126313641[Duration],"N/A",Administrative176671768186919610110611111612312813313814314815315851962126313641[Monthly Cost Per Unit]))*12</f>
        <v>0</v>
      </c>
    </row>
    <row r="36" spans="1:8" ht="16.5" thickTop="1" thickBot="1" x14ac:dyDescent="0.3">
      <c r="A36" s="113"/>
      <c r="B36" s="113"/>
      <c r="C36" s="114" t="s">
        <v>42</v>
      </c>
      <c r="D36" s="115"/>
      <c r="E36" s="114"/>
      <c r="F36" s="114"/>
      <c r="G36" s="133"/>
      <c r="H36" s="117">
        <f>SUM(H32:H35)</f>
        <v>0</v>
      </c>
    </row>
    <row r="37" spans="1:8" ht="15.75" thickTop="1" x14ac:dyDescent="0.25">
      <c r="A37" s="10"/>
      <c r="B37" s="10"/>
      <c r="C37" s="10"/>
      <c r="D37" s="10"/>
      <c r="F37" s="129"/>
      <c r="G37" s="129"/>
    </row>
    <row r="38" spans="1:8" x14ac:dyDescent="0.25">
      <c r="A38" s="274" t="s">
        <v>61</v>
      </c>
      <c r="B38" s="274"/>
      <c r="C38" s="274"/>
      <c r="D38" s="274"/>
      <c r="E38" s="274"/>
      <c r="F38" s="274"/>
      <c r="G38" s="274"/>
      <c r="H38" s="274"/>
    </row>
    <row r="39" spans="1:8" ht="30" customHeight="1" outlineLevel="1" x14ac:dyDescent="0.25">
      <c r="A39" s="294" t="s">
        <v>62</v>
      </c>
      <c r="B39" s="294"/>
      <c r="C39" s="294"/>
      <c r="D39" s="294"/>
      <c r="E39" s="294"/>
      <c r="F39" s="294"/>
      <c r="G39" s="294"/>
      <c r="H39" s="294"/>
    </row>
    <row r="40" spans="1:8" s="3" customFormat="1" ht="28.35" customHeight="1" x14ac:dyDescent="0.25">
      <c r="A40" s="131" t="s">
        <v>51</v>
      </c>
      <c r="B40" s="131" t="s">
        <v>52</v>
      </c>
      <c r="C40" s="131" t="s">
        <v>53</v>
      </c>
      <c r="D40" s="131" t="s">
        <v>54</v>
      </c>
      <c r="E40" s="131" t="s">
        <v>55</v>
      </c>
      <c r="F40" s="131" t="s">
        <v>56</v>
      </c>
      <c r="G40" s="131" t="s">
        <v>57</v>
      </c>
      <c r="H40" s="132" t="s">
        <v>20</v>
      </c>
    </row>
    <row r="41" spans="1:8" x14ac:dyDescent="0.25">
      <c r="A41" s="75"/>
      <c r="B41" s="76"/>
      <c r="C41" s="88"/>
      <c r="D41" s="89"/>
      <c r="E41" s="79"/>
      <c r="F41" s="79"/>
      <c r="G41" s="53" t="e" cm="1">
        <f t="array" ref="G41">_xlfn.IFS(Operations186772778287929710210711211712412913413914414915415952972227323742[[#This Row],[Unit]]="Program-wide",((_xlfn.IFS(Operations186772778287929710210711211712412913413914414915415952972227323742[[#This Row],[Frequency]]="Per Year",Operations186772778287929710210711211712412913413914414915415952972227323742[[#This Row],[Cost]]/12,Operations186772778287929710210711211712412913413914414915415952972227323742[[#This Row],[Frequency]]="Per month",Operations186772778287929710210711211712412913413914414915415952972227323742[[#This Row],[Cost]],Operations186772778287929710210711211712412913413914414915415952972227323742[[#This Row],[Frequency]]="Per day",Operations186772778287929710210711211712412913413914414915415952972227323742[[#This Row],[Cost]]*30,Operations186772778287929710210711211712412913413914414915415952972227323742[[#This Row],[Frequency]]="One-time",Operations186772778287929710210711211712412913413914414915415952972227323742[[#This Row],[Cost]]/SUM(C18,C19)))/$C$17),Operations186772778287929710210711211712412913413914414915415952972227323742[[#This Row],[Unit]]="Per unit/space/household",(_xlfn.IFS(Operations186772778287929710210711211712412913413914414915415952972227323742[[#This Row],[Frequency]]="Per Year",Operations186772778287929710210711211712412913413914414915415952972227323742[[#This Row],[Cost]]/12,Operations186772778287929710210711211712412913413914414915415952972227323742[[#This Row],[Frequency]]="Per month",Operations186772778287929710210711211712412913413914414915415952972227323742[[#This Row],[Cost]],Operations186772778287929710210711211712412913413914414915415952972227323742[[#This Row],[Frequency]]="Per day",Operations186772778287929710210711211712412913413914414915415952972227323742[[#This Row],[Cost]]*30,Operations186772778287929710210711211712412913413914414915415952972227323742[[#This Row],[Frequency]]="One-time",Operations186772778287929710210711211712412913413914414915415952972227323742[[#This Row],[Cost]]/SUM($C$18,$C$19))))</f>
        <v>#N/A</v>
      </c>
      <c r="H41" s="46" t="e">
        <f>Operations186772778287929710210711211712412913413914414915415952972227323742[[#This Row],[Monthly Cost Per Unit]]*12</f>
        <v>#N/A</v>
      </c>
    </row>
    <row r="42" spans="1:8" x14ac:dyDescent="0.25">
      <c r="A42" s="75"/>
      <c r="B42" s="76"/>
      <c r="C42" s="77"/>
      <c r="D42" s="78"/>
      <c r="E42" s="79"/>
      <c r="F42" s="79"/>
      <c r="G42" s="53" t="e" cm="1">
        <f t="array" ref="G42">_xlfn.IFS(Operations186772778287929710210711211712412913413914414915415952972227323742[[#This Row],[Unit]]="Program-wide",((_xlfn.IFS(Operations186772778287929710210711211712412913413914414915415952972227323742[[#This Row],[Frequency]]="Per Year",Operations186772778287929710210711211712412913413914414915415952972227323742[[#This Row],[Cost]]/12,Operations186772778287929710210711211712412913413914414915415952972227323742[[#This Row],[Frequency]]="Per month",Operations186772778287929710210711211712412913413914414915415952972227323742[[#This Row],[Cost]],Operations186772778287929710210711211712412913413914414915415952972227323742[[#This Row],[Frequency]]="Per day",Operations186772778287929710210711211712412913413914414915415952972227323742[[#This Row],[Cost]]*30,Operations186772778287929710210711211712412913413914414915415952972227323742[[#This Row],[Frequency]]="One-time",Operations186772778287929710210711211712412913413914414915415952972227323742[[#This Row],[Cost]]/SUM($C$18,$C$19)))/$C$17),Operations186772778287929710210711211712412913413914414915415952972227323742[[#This Row],[Unit]]="Per unit/space/household",(_xlfn.IFS(Operations186772778287929710210711211712412913413914414915415952972227323742[[#This Row],[Frequency]]="Per Year",Operations186772778287929710210711211712412913413914414915415952972227323742[[#This Row],[Cost]]/12,Operations186772778287929710210711211712412913413914414915415952972227323742[[#This Row],[Frequency]]="Per month",Operations186772778287929710210711211712412913413914414915415952972227323742[[#This Row],[Cost]],Operations186772778287929710210711211712412913413914414915415952972227323742[[#This Row],[Frequency]]="Per day",Operations186772778287929710210711211712412913413914414915415952972227323742[[#This Row],[Cost]]*30,Operations186772778287929710210711211712412913413914414915415952972227323742[[#This Row],[Frequency]]="One-time",Operations186772778287929710210711211712412913413914414915415952972227323742[[#This Row],[Cost]]/SUM($C$18,$C$19))))</f>
        <v>#N/A</v>
      </c>
      <c r="H42" s="46" t="e">
        <f>Operations186772778287929710210711211712412913413914414915415952972227323742[[#This Row],[Monthly Cost Per Unit]]*12</f>
        <v>#N/A</v>
      </c>
    </row>
    <row r="43" spans="1:8" x14ac:dyDescent="0.25">
      <c r="A43" s="75"/>
      <c r="B43" s="76"/>
      <c r="C43" s="77"/>
      <c r="D43" s="78"/>
      <c r="E43" s="79"/>
      <c r="F43" s="79"/>
      <c r="G43" s="53" t="e" cm="1">
        <f t="array" ref="G43">_xlfn.IFS(Operations186772778287929710210711211712412913413914414915415952972227323742[[#This Row],[Unit]]="Program-wide",((_xlfn.IFS(Operations186772778287929710210711211712412913413914414915415952972227323742[[#This Row],[Frequency]]="Per Year",Operations186772778287929710210711211712412913413914414915415952972227323742[[#This Row],[Cost]]/12,Operations186772778287929710210711211712412913413914414915415952972227323742[[#This Row],[Frequency]]="Per month",Operations186772778287929710210711211712412913413914414915415952972227323742[[#This Row],[Cost]],Operations186772778287929710210711211712412913413914414915415952972227323742[[#This Row],[Frequency]]="Per day",Operations186772778287929710210711211712412913413914414915415952972227323742[[#This Row],[Cost]]*30,Operations186772778287929710210711211712412913413914414915415952972227323742[[#This Row],[Frequency]]="One-time",Operations186772778287929710210711211712412913413914414915415952972227323742[[#This Row],[Cost]]/SUM($C$18,$C$19)))/$C$17),Operations186772778287929710210711211712412913413914414915415952972227323742[[#This Row],[Unit]]="Per unit/space/household",(_xlfn.IFS(Operations186772778287929710210711211712412913413914414915415952972227323742[[#This Row],[Frequency]]="Per Year",Operations186772778287929710210711211712412913413914414915415952972227323742[[#This Row],[Cost]]/12,Operations186772778287929710210711211712412913413914414915415952972227323742[[#This Row],[Frequency]]="Per month",Operations186772778287929710210711211712412913413914414915415952972227323742[[#This Row],[Cost]],Operations186772778287929710210711211712412913413914414915415952972227323742[[#This Row],[Frequency]]="Per day",Operations186772778287929710210711211712412913413914414915415952972227323742[[#This Row],[Cost]]*30,Operations186772778287929710210711211712412913413914414915415952972227323742[[#This Row],[Frequency]]="One-time",Operations186772778287929710210711211712412913413914414915415952972227323742[[#This Row],[Cost]]/SUM($C$18,$C$19))))</f>
        <v>#N/A</v>
      </c>
      <c r="H43" s="46" t="e">
        <f>Operations186772778287929710210711211712412913413914414915415952972227323742[[#This Row],[Monthly Cost Per Unit]]*12</f>
        <v>#N/A</v>
      </c>
    </row>
    <row r="44" spans="1:8" x14ac:dyDescent="0.25">
      <c r="A44" s="75"/>
      <c r="B44" s="76"/>
      <c r="C44" s="77"/>
      <c r="D44" s="78"/>
      <c r="E44" s="79"/>
      <c r="F44" s="79"/>
      <c r="G44" s="53" t="e" cm="1">
        <f t="array" ref="G44">_xlfn.IFS(Operations186772778287929710210711211712412913413914414915415952972227323742[[#This Row],[Unit]]="Program-wide",((_xlfn.IFS(Operations186772778287929710210711211712412913413914414915415952972227323742[[#This Row],[Frequency]]="Per Year",Operations186772778287929710210711211712412913413914414915415952972227323742[[#This Row],[Cost]]/12,Operations186772778287929710210711211712412913413914414915415952972227323742[[#This Row],[Frequency]]="Per month",Operations186772778287929710210711211712412913413914414915415952972227323742[[#This Row],[Cost]],Operations186772778287929710210711211712412913413914414915415952972227323742[[#This Row],[Frequency]]="Per day",Operations186772778287929710210711211712412913413914414915415952972227323742[[#This Row],[Cost]]*30,Operations186772778287929710210711211712412913413914414915415952972227323742[[#This Row],[Frequency]]="One-time",Operations186772778287929710210711211712412913413914414915415952972227323742[[#This Row],[Cost]]/SUM($C$18,$C$19)))/$C$17),Operations186772778287929710210711211712412913413914414915415952972227323742[[#This Row],[Unit]]="Per unit/space/household",(_xlfn.IFS(Operations186772778287929710210711211712412913413914414915415952972227323742[[#This Row],[Frequency]]="Per Year",Operations186772778287929710210711211712412913413914414915415952972227323742[[#This Row],[Cost]]/12,Operations186772778287929710210711211712412913413914414915415952972227323742[[#This Row],[Frequency]]="Per month",Operations186772778287929710210711211712412913413914414915415952972227323742[[#This Row],[Cost]],Operations186772778287929710210711211712412913413914414915415952972227323742[[#This Row],[Frequency]]="Per day",Operations186772778287929710210711211712412913413914414915415952972227323742[[#This Row],[Cost]]*30,Operations186772778287929710210711211712412913413914414915415952972227323742[[#This Row],[Frequency]]="One-time",Operations186772778287929710210711211712412913413914414915415952972227323742[[#This Row],[Cost]]/SUM($C$18,$C$19))))</f>
        <v>#N/A</v>
      </c>
      <c r="H44" s="46" t="e">
        <f>Operations186772778287929710210711211712412913413914414915415952972227323742[[#This Row],[Monthly Cost Per Unit]]*12</f>
        <v>#N/A</v>
      </c>
    </row>
    <row r="45" spans="1:8" x14ac:dyDescent="0.25">
      <c r="A45" s="75"/>
      <c r="B45" s="76"/>
      <c r="C45" s="77"/>
      <c r="D45" s="78"/>
      <c r="E45" s="79"/>
      <c r="F45" s="79"/>
      <c r="G45" s="53" t="e" cm="1">
        <f t="array" ref="G45">_xlfn.IFS(Operations186772778287929710210711211712412913413914414915415952972227323742[[#This Row],[Unit]]="Program-wide",((_xlfn.IFS(Operations186772778287929710210711211712412913413914414915415952972227323742[[#This Row],[Frequency]]="Per Year",Operations186772778287929710210711211712412913413914414915415952972227323742[[#This Row],[Cost]]/12,Operations186772778287929710210711211712412913413914414915415952972227323742[[#This Row],[Frequency]]="Per month",Operations186772778287929710210711211712412913413914414915415952972227323742[[#This Row],[Cost]],Operations186772778287929710210711211712412913413914414915415952972227323742[[#This Row],[Frequency]]="Per day",Operations186772778287929710210711211712412913413914414915415952972227323742[[#This Row],[Cost]]*30,Operations186772778287929710210711211712412913413914414915415952972227323742[[#This Row],[Frequency]]="One-time",Operations186772778287929710210711211712412913413914414915415952972227323742[[#This Row],[Cost]]/SUM($C$18,$C$19)))/$C$17),Operations186772778287929710210711211712412913413914414915415952972227323742[[#This Row],[Unit]]="Per unit/space/household",(_xlfn.IFS(Operations186772778287929710210711211712412913413914414915415952972227323742[[#This Row],[Frequency]]="Per Year",Operations186772778287929710210711211712412913413914414915415952972227323742[[#This Row],[Cost]]/12,Operations186772778287929710210711211712412913413914414915415952972227323742[[#This Row],[Frequency]]="Per month",Operations186772778287929710210711211712412913413914414915415952972227323742[[#This Row],[Cost]],Operations186772778287929710210711211712412913413914414915415952972227323742[[#This Row],[Frequency]]="Per day",Operations186772778287929710210711211712412913413914414915415952972227323742[[#This Row],[Cost]]*30,Operations186772778287929710210711211712412913413914414915415952972227323742[[#This Row],[Frequency]]="One-time",Operations186772778287929710210711211712412913413914414915415952972227323742[[#This Row],[Cost]]/SUM($C$18,$C$19))))</f>
        <v>#N/A</v>
      </c>
      <c r="H45" s="46" t="e">
        <f>Operations186772778287929710210711211712412913413914414915415952972227323742[[#This Row],[Monthly Cost Per Unit]]*12</f>
        <v>#N/A</v>
      </c>
    </row>
    <row r="46" spans="1:8" x14ac:dyDescent="0.25">
      <c r="A46" s="75"/>
      <c r="B46" s="76"/>
      <c r="C46" s="77"/>
      <c r="D46" s="78"/>
      <c r="E46" s="79"/>
      <c r="F46" s="79"/>
      <c r="G46" s="53" t="e" cm="1">
        <f t="array" ref="G46">_xlfn.IFS(Operations186772778287929710210711211712412913413914414915415952972227323742[[#This Row],[Unit]]="Program-wide",((_xlfn.IFS(Operations186772778287929710210711211712412913413914414915415952972227323742[[#This Row],[Frequency]]="Per Year",Operations186772778287929710210711211712412913413914414915415952972227323742[[#This Row],[Cost]]/12,Operations186772778287929710210711211712412913413914414915415952972227323742[[#This Row],[Frequency]]="Per month",Operations186772778287929710210711211712412913413914414915415952972227323742[[#This Row],[Cost]],Operations186772778287929710210711211712412913413914414915415952972227323742[[#This Row],[Frequency]]="Per day",Operations186772778287929710210711211712412913413914414915415952972227323742[[#This Row],[Cost]]*30,Operations186772778287929710210711211712412913413914414915415952972227323742[[#This Row],[Frequency]]="One-time",Operations186772778287929710210711211712412913413914414915415952972227323742[[#This Row],[Cost]]/SUM($C$18,$C$19)))/$C$17),Operations186772778287929710210711211712412913413914414915415952972227323742[[#This Row],[Unit]]="Per unit/space/household",(_xlfn.IFS(Operations186772778287929710210711211712412913413914414915415952972227323742[[#This Row],[Frequency]]="Per Year",Operations186772778287929710210711211712412913413914414915415952972227323742[[#This Row],[Cost]]/12,Operations186772778287929710210711211712412913413914414915415952972227323742[[#This Row],[Frequency]]="Per month",Operations186772778287929710210711211712412913413914414915415952972227323742[[#This Row],[Cost]],Operations186772778287929710210711211712412913413914414915415952972227323742[[#This Row],[Frequency]]="Per day",Operations186772778287929710210711211712412913413914414915415952972227323742[[#This Row],[Cost]]*30,Operations186772778287929710210711211712412913413914414915415952972227323742[[#This Row],[Frequency]]="One-time",Operations186772778287929710210711211712412913413914414915415952972227323742[[#This Row],[Cost]]/SUM($C$18,$C$19))))</f>
        <v>#N/A</v>
      </c>
      <c r="H46" s="46" t="e">
        <f>Operations186772778287929710210711211712412913413914414915415952972227323742[[#This Row],[Monthly Cost Per Unit]]*12</f>
        <v>#N/A</v>
      </c>
    </row>
    <row r="47" spans="1:8" x14ac:dyDescent="0.25">
      <c r="A47" s="75"/>
      <c r="B47" s="76"/>
      <c r="C47" s="77"/>
      <c r="D47" s="78"/>
      <c r="E47" s="79"/>
      <c r="F47" s="79"/>
      <c r="G47" s="53" t="e" cm="1">
        <f t="array" ref="G47">_xlfn.IFS(Operations186772778287929710210711211712412913413914414915415952972227323742[[#This Row],[Unit]]="Program-wide",((_xlfn.IFS(Operations186772778287929710210711211712412913413914414915415952972227323742[[#This Row],[Frequency]]="Per Year",Operations186772778287929710210711211712412913413914414915415952972227323742[[#This Row],[Cost]]/12,Operations186772778287929710210711211712412913413914414915415952972227323742[[#This Row],[Frequency]]="Per month",Operations186772778287929710210711211712412913413914414915415952972227323742[[#This Row],[Cost]],Operations186772778287929710210711211712412913413914414915415952972227323742[[#This Row],[Frequency]]="Per day",Operations186772778287929710210711211712412913413914414915415952972227323742[[#This Row],[Cost]]*30,Operations186772778287929710210711211712412913413914414915415952972227323742[[#This Row],[Frequency]]="One-time",Operations186772778287929710210711211712412913413914414915415952972227323742[[#This Row],[Cost]]/SUM($C$18,$C$19)))/$C$17),Operations186772778287929710210711211712412913413914414915415952972227323742[[#This Row],[Unit]]="Per unit/space/household",(_xlfn.IFS(Operations186772778287929710210711211712412913413914414915415952972227323742[[#This Row],[Frequency]]="Per Year",Operations186772778287929710210711211712412913413914414915415952972227323742[[#This Row],[Cost]]/12,Operations186772778287929710210711211712412913413914414915415952972227323742[[#This Row],[Frequency]]="Per month",Operations186772778287929710210711211712412913413914414915415952972227323742[[#This Row],[Cost]],Operations186772778287929710210711211712412913413914414915415952972227323742[[#This Row],[Frequency]]="Per day",Operations186772778287929710210711211712412913413914414915415952972227323742[[#This Row],[Cost]]*30,Operations186772778287929710210711211712412913413914414915415952972227323742[[#This Row],[Frequency]]="One-time",Operations186772778287929710210711211712412913413914414915415952972227323742[[#This Row],[Cost]]/SUM($C$18,$C$19))))</f>
        <v>#N/A</v>
      </c>
      <c r="H47" s="46" t="e">
        <f>Operations186772778287929710210711211712412913413914414915415952972227323742[[#This Row],[Monthly Cost Per Unit]]*12</f>
        <v>#N/A</v>
      </c>
    </row>
    <row r="48" spans="1:8" x14ac:dyDescent="0.25">
      <c r="A48" s="75"/>
      <c r="B48" s="76"/>
      <c r="C48" s="77"/>
      <c r="D48" s="78"/>
      <c r="E48" s="79"/>
      <c r="F48" s="79"/>
      <c r="G48" s="53" t="e" cm="1">
        <f t="array" ref="G48">_xlfn.IFS(Operations186772778287929710210711211712412913413914414915415952972227323742[[#This Row],[Unit]]="Program-wide",((_xlfn.IFS(Operations186772778287929710210711211712412913413914414915415952972227323742[[#This Row],[Frequency]]="Per Year",Operations186772778287929710210711211712412913413914414915415952972227323742[[#This Row],[Cost]]/12,Operations186772778287929710210711211712412913413914414915415952972227323742[[#This Row],[Frequency]]="Per month",Operations186772778287929710210711211712412913413914414915415952972227323742[[#This Row],[Cost]],Operations186772778287929710210711211712412913413914414915415952972227323742[[#This Row],[Frequency]]="Per day",Operations186772778287929710210711211712412913413914414915415952972227323742[[#This Row],[Cost]]*30,Operations186772778287929710210711211712412913413914414915415952972227323742[[#This Row],[Frequency]]="One-time",Operations186772778287929710210711211712412913413914414915415952972227323742[[#This Row],[Cost]]/SUM($C$18,$C$19)))/$C$17),Operations186772778287929710210711211712412913413914414915415952972227323742[[#This Row],[Unit]]="Per unit/space/household",(_xlfn.IFS(Operations186772778287929710210711211712412913413914414915415952972227323742[[#This Row],[Frequency]]="Per Year",Operations186772778287929710210711211712412913413914414915415952972227323742[[#This Row],[Cost]]/12,Operations186772778287929710210711211712412913413914414915415952972227323742[[#This Row],[Frequency]]="Per month",Operations186772778287929710210711211712412913413914414915415952972227323742[[#This Row],[Cost]],Operations186772778287929710210711211712412913413914414915415952972227323742[[#This Row],[Frequency]]="Per day",Operations186772778287929710210711211712412913413914414915415952972227323742[[#This Row],[Cost]]*30,Operations186772778287929710210711211712412913413914414915415952972227323742[[#This Row],[Frequency]]="One-time",Operations186772778287929710210711211712412913413914414915415952972227323742[[#This Row],[Cost]]/SUM($C$18,$C$19))))</f>
        <v>#N/A</v>
      </c>
      <c r="H48" s="46" t="e">
        <f>Operations186772778287929710210711211712412913413914414915415952972227323742[[#This Row],[Monthly Cost Per Unit]]*12</f>
        <v>#N/A</v>
      </c>
    </row>
    <row r="49" spans="1:9" x14ac:dyDescent="0.25">
      <c r="A49" s="75"/>
      <c r="B49" s="76"/>
      <c r="C49" s="77"/>
      <c r="D49" s="78"/>
      <c r="E49" s="79"/>
      <c r="F49" s="79"/>
      <c r="G49" s="53" t="e" cm="1">
        <f t="array" ref="G49">_xlfn.IFS(Operations186772778287929710210711211712412913413914414915415952972227323742[[#This Row],[Unit]]="Program-wide",((_xlfn.IFS(Operations186772778287929710210711211712412913413914414915415952972227323742[[#This Row],[Frequency]]="Per Year",Operations186772778287929710210711211712412913413914414915415952972227323742[[#This Row],[Cost]]/12,Operations186772778287929710210711211712412913413914414915415952972227323742[[#This Row],[Frequency]]="Per month",Operations186772778287929710210711211712412913413914414915415952972227323742[[#This Row],[Cost]],Operations186772778287929710210711211712412913413914414915415952972227323742[[#This Row],[Frequency]]="Per day",Operations186772778287929710210711211712412913413914414915415952972227323742[[#This Row],[Cost]]*30,Operations186772778287929710210711211712412913413914414915415952972227323742[[#This Row],[Frequency]]="One-time",Operations186772778287929710210711211712412913413914414915415952972227323742[[#This Row],[Cost]]/SUM($C$18,$C$19)))/$C$17),Operations186772778287929710210711211712412913413914414915415952972227323742[[#This Row],[Unit]]="Per unit/space/household",(_xlfn.IFS(Operations186772778287929710210711211712412913413914414915415952972227323742[[#This Row],[Frequency]]="Per Year",Operations186772778287929710210711211712412913413914414915415952972227323742[[#This Row],[Cost]]/12,Operations186772778287929710210711211712412913413914414915415952972227323742[[#This Row],[Frequency]]="Per month",Operations186772778287929710210711211712412913413914414915415952972227323742[[#This Row],[Cost]],Operations186772778287929710210711211712412913413914414915415952972227323742[[#This Row],[Frequency]]="Per day",Operations186772778287929710210711211712412913413914414915415952972227323742[[#This Row],[Cost]]*30,Operations186772778287929710210711211712412913413914414915415952972227323742[[#This Row],[Frequency]]="One-time",Operations186772778287929710210711211712412913413914414915415952972227323742[[#This Row],[Cost]]/SUM($C$18,$C$19))))</f>
        <v>#N/A</v>
      </c>
      <c r="H49" s="46" t="e">
        <f>Operations186772778287929710210711211712412913413914414915415952972227323742[[#This Row],[Monthly Cost Per Unit]]*12</f>
        <v>#N/A</v>
      </c>
    </row>
    <row r="50" spans="1:9" x14ac:dyDescent="0.25">
      <c r="A50" s="75"/>
      <c r="B50" s="76"/>
      <c r="C50" s="77"/>
      <c r="D50" s="78"/>
      <c r="E50" s="79"/>
      <c r="F50" s="79"/>
      <c r="G50" s="53" t="e" cm="1">
        <f t="array" ref="G50">_xlfn.IFS(Operations186772778287929710210711211712412913413914414915415952972227323742[[#This Row],[Unit]]="Program-wide",((_xlfn.IFS(Operations186772778287929710210711211712412913413914414915415952972227323742[[#This Row],[Frequency]]="Per Year",Operations186772778287929710210711211712412913413914414915415952972227323742[[#This Row],[Cost]]/12,Operations186772778287929710210711211712412913413914414915415952972227323742[[#This Row],[Frequency]]="Per month",Operations186772778287929710210711211712412913413914414915415952972227323742[[#This Row],[Cost]],Operations186772778287929710210711211712412913413914414915415952972227323742[[#This Row],[Frequency]]="Per day",Operations186772778287929710210711211712412913413914414915415952972227323742[[#This Row],[Cost]]*30,Operations186772778287929710210711211712412913413914414915415952972227323742[[#This Row],[Frequency]]="One-time",Operations186772778287929710210711211712412913413914414915415952972227323742[[#This Row],[Cost]]/SUM($C$18,$C$19)))/$C$17),Operations186772778287929710210711211712412913413914414915415952972227323742[[#This Row],[Unit]]="Per unit/space/household",(_xlfn.IFS(Operations186772778287929710210711211712412913413914414915415952972227323742[[#This Row],[Frequency]]="Per Year",Operations186772778287929710210711211712412913413914414915415952972227323742[[#This Row],[Cost]]/12,Operations186772778287929710210711211712412913413914414915415952972227323742[[#This Row],[Frequency]]="Per month",Operations186772778287929710210711211712412913413914414915415952972227323742[[#This Row],[Cost]],Operations186772778287929710210711211712412913413914414915415952972227323742[[#This Row],[Frequency]]="Per day",Operations186772778287929710210711211712412913413914414915415952972227323742[[#This Row],[Cost]]*30,Operations186772778287929710210711211712412913413914414915415952972227323742[[#This Row],[Frequency]]="One-time",Operations186772778287929710210711211712412913413914414915415952972227323742[[#This Row],[Cost]]/SUM($C$18,$C$19))))</f>
        <v>#N/A</v>
      </c>
      <c r="H50" s="46" t="e">
        <f>Operations186772778287929710210711211712412913413914414915415952972227323742[[#This Row],[Monthly Cost Per Unit]]*12</f>
        <v>#N/A</v>
      </c>
    </row>
    <row r="51" spans="1:9" x14ac:dyDescent="0.25">
      <c r="A51" s="75"/>
      <c r="B51" s="76"/>
      <c r="C51" s="77"/>
      <c r="D51" s="78"/>
      <c r="E51" s="79"/>
      <c r="F51" s="79"/>
      <c r="G51" s="53" t="e" cm="1">
        <f t="array" ref="G51">_xlfn.IFS(Operations186772778287929710210711211712412913413914414915415952972227323742[[#This Row],[Unit]]="Program-wide",((_xlfn.IFS(Operations186772778287929710210711211712412913413914414915415952972227323742[[#This Row],[Frequency]]="Per Year",Operations186772778287929710210711211712412913413914414915415952972227323742[[#This Row],[Cost]]/12,Operations186772778287929710210711211712412913413914414915415952972227323742[[#This Row],[Frequency]]="Per month",Operations186772778287929710210711211712412913413914414915415952972227323742[[#This Row],[Cost]],Operations186772778287929710210711211712412913413914414915415952972227323742[[#This Row],[Frequency]]="Per day",Operations186772778287929710210711211712412913413914414915415952972227323742[[#This Row],[Cost]]*30,Operations186772778287929710210711211712412913413914414915415952972227323742[[#This Row],[Frequency]]="One-time",Operations186772778287929710210711211712412913413914414915415952972227323742[[#This Row],[Cost]]/SUM($C$18,$C$19)))/$C$17),Operations186772778287929710210711211712412913413914414915415952972227323742[[#This Row],[Unit]]="Per unit/space/household",(_xlfn.IFS(Operations186772778287929710210711211712412913413914414915415952972227323742[[#This Row],[Frequency]]="Per Year",Operations186772778287929710210711211712412913413914414915415952972227323742[[#This Row],[Cost]]/12,Operations186772778287929710210711211712412913413914414915415952972227323742[[#This Row],[Frequency]]="Per month",Operations186772778287929710210711211712412913413914414915415952972227323742[[#This Row],[Cost]],Operations186772778287929710210711211712412913413914414915415952972227323742[[#This Row],[Frequency]]="Per day",Operations186772778287929710210711211712412913413914414915415952972227323742[[#This Row],[Cost]]*30,Operations186772778287929710210711211712412913413914414915415952972227323742[[#This Row],[Frequency]]="One-time",Operations186772778287929710210711211712412913413914414915415952972227323742[[#This Row],[Cost]]/SUM($C$18,$C$19))))</f>
        <v>#N/A</v>
      </c>
      <c r="H51" s="46" t="e">
        <f>Operations186772778287929710210711211712412913413914414915415952972227323742[[#This Row],[Monthly Cost Per Unit]]*12</f>
        <v>#N/A</v>
      </c>
    </row>
    <row r="52" spans="1:9" x14ac:dyDescent="0.25">
      <c r="A52" s="75"/>
      <c r="B52" s="76"/>
      <c r="C52" s="77"/>
      <c r="D52" s="78"/>
      <c r="E52" s="79"/>
      <c r="F52" s="79"/>
      <c r="G52" s="55" t="e" cm="1">
        <f t="array" ref="G52">_xlfn.IFS(Operations186772778287929710210711211712412913413914414915415952972227323742[[#This Row],[Unit]]="Program-wide",((_xlfn.IFS(Operations186772778287929710210711211712412913413914414915415952972227323742[[#This Row],[Frequency]]="Per Year",Operations186772778287929710210711211712412913413914414915415952972227323742[[#This Row],[Cost]]/12,Operations186772778287929710210711211712412913413914414915415952972227323742[[#This Row],[Frequency]]="Per month",Operations186772778287929710210711211712412913413914414915415952972227323742[[#This Row],[Cost]],Operations186772778287929710210711211712412913413914414915415952972227323742[[#This Row],[Frequency]]="Per day",Operations186772778287929710210711211712412913413914414915415952972227323742[[#This Row],[Cost]]*30,Operations186772778287929710210711211712412913413914414915415952972227323742[[#This Row],[Frequency]]="One-time",Operations186772778287929710210711211712412913413914414915415952972227323742[[#This Row],[Cost]]/SUM($C$18,$C$19)))/$C$17),Operations186772778287929710210711211712412913413914414915415952972227323742[[#This Row],[Unit]]="Per unit/space/household",(_xlfn.IFS(Operations186772778287929710210711211712412913413914414915415952972227323742[[#This Row],[Frequency]]="Per Year",Operations186772778287929710210711211712412913413914414915415952972227323742[[#This Row],[Cost]]/12,Operations186772778287929710210711211712412913413914414915415952972227323742[[#This Row],[Frequency]]="Per month",Operations186772778287929710210711211712412913413914414915415952972227323742[[#This Row],[Cost]],Operations186772778287929710210711211712412913413914414915415952972227323742[[#This Row],[Frequency]]="Per day",Operations186772778287929710210711211712412913413914414915415952972227323742[[#This Row],[Cost]]*30,Operations186772778287929710210711211712412913413914414915415952972227323742[[#This Row],[Frequency]]="One-time",Operations186772778287929710210711211712412913413914414915415952972227323742[[#This Row],[Cost]]/SUM($C$18,$C$19))))</f>
        <v>#N/A</v>
      </c>
      <c r="H52" s="46" t="e">
        <f>Operations186772778287929710210711211712412913413914414915415952972227323742[[#This Row],[Monthly Cost Per Unit]]*12</f>
        <v>#N/A</v>
      </c>
    </row>
    <row r="53" spans="1:9" x14ac:dyDescent="0.25">
      <c r="A53" s="107" t="s">
        <v>20</v>
      </c>
      <c r="B53" s="107"/>
      <c r="C53" s="108" t="s">
        <v>68</v>
      </c>
      <c r="D53" s="109"/>
      <c r="E53" s="108"/>
      <c r="F53" s="108"/>
      <c r="G53" s="118"/>
      <c r="H53" s="111">
        <f>(SUMIF(Operations186772778287929710210711211712412913413914414915415952972227323742[Duration],"While homeless only",Operations186772778287929710210711211712412913413914414915415952972227323742[Monthly Cost Per Unit]))*12</f>
        <v>0</v>
      </c>
    </row>
    <row r="54" spans="1:9" x14ac:dyDescent="0.25">
      <c r="A54" s="112"/>
      <c r="B54" s="112"/>
      <c r="C54" s="108" t="s">
        <v>63</v>
      </c>
      <c r="D54" s="109"/>
      <c r="E54" s="108"/>
      <c r="F54" s="108"/>
      <c r="G54" s="111"/>
      <c r="H54" s="111">
        <f>(SUMIF(Operations186772778287929710210711211712412913413914414915415952972227323742[Duration],"While housed only",Operations186772778287929710210711211712412913413914414915415952972227323742[Monthly Cost Per Unit]))*12</f>
        <v>0</v>
      </c>
    </row>
    <row r="55" spans="1:9" x14ac:dyDescent="0.25">
      <c r="A55" s="112"/>
      <c r="B55" s="112"/>
      <c r="C55" s="108" t="s">
        <v>58</v>
      </c>
      <c r="D55" s="109"/>
      <c r="E55" s="108"/>
      <c r="F55" s="108"/>
      <c r="G55" s="111"/>
      <c r="H55" s="111">
        <f>(SUMIF(Operations186772778287929710210711211712412913413914414915415952972227323742[Duration],"Homeless &amp; housed",Operations186772778287929710210711211712412913413914414915415952972227323742[Monthly Cost Per Unit]))*12</f>
        <v>0</v>
      </c>
    </row>
    <row r="56" spans="1:9" ht="15.75" thickBot="1" x14ac:dyDescent="0.3">
      <c r="A56" s="113"/>
      <c r="B56" s="113"/>
      <c r="C56" s="114" t="s">
        <v>207</v>
      </c>
      <c r="D56" s="115"/>
      <c r="E56" s="114"/>
      <c r="F56" s="114"/>
      <c r="G56" s="117"/>
      <c r="H56" s="117">
        <f>(SUMIF(Operations186772778287929710210711211712412913413914414915415952972227323742[Duration],"N/A",Operations186772778287929710210711211712412913413914414915415952972227323742[Monthly Cost Per Unit]))*12</f>
        <v>0</v>
      </c>
    </row>
    <row r="57" spans="1:9" ht="16.5" thickTop="1" thickBot="1" x14ac:dyDescent="0.3">
      <c r="A57" s="113"/>
      <c r="B57" s="113"/>
      <c r="C57" s="114" t="s">
        <v>42</v>
      </c>
      <c r="D57" s="115"/>
      <c r="E57" s="114"/>
      <c r="F57" s="114"/>
      <c r="G57" s="117"/>
      <c r="H57" s="117">
        <f>SUM(H53:H56)</f>
        <v>0</v>
      </c>
    </row>
    <row r="58" spans="1:9" ht="15.75" thickTop="1" x14ac:dyDescent="0.25">
      <c r="A58" s="134"/>
      <c r="B58" s="134"/>
      <c r="C58" s="135"/>
      <c r="D58" s="136"/>
      <c r="E58" s="137"/>
      <c r="F58" s="137"/>
      <c r="G58" s="138"/>
    </row>
    <row r="59" spans="1:9" x14ac:dyDescent="0.25">
      <c r="A59" s="274" t="s">
        <v>69</v>
      </c>
      <c r="B59" s="274"/>
      <c r="C59" s="274"/>
      <c r="D59" s="274"/>
      <c r="E59" s="274"/>
      <c r="F59" s="274"/>
      <c r="G59" s="274"/>
      <c r="H59" s="274"/>
      <c r="I59" s="129"/>
    </row>
    <row r="60" spans="1:9" ht="27.95" customHeight="1" outlineLevel="1" x14ac:dyDescent="0.25">
      <c r="A60" s="281" t="s">
        <v>108</v>
      </c>
      <c r="B60" s="281"/>
      <c r="C60" s="281"/>
      <c r="D60" s="281"/>
      <c r="E60" s="281"/>
      <c r="F60" s="281"/>
      <c r="G60" s="281"/>
      <c r="H60" s="281"/>
      <c r="I60" s="129"/>
    </row>
    <row r="61" spans="1:9" ht="18" customHeight="1" outlineLevel="1" x14ac:dyDescent="0.25">
      <c r="A61" s="279" t="s">
        <v>70</v>
      </c>
      <c r="B61" s="279"/>
      <c r="C61" s="279"/>
      <c r="D61" s="279"/>
      <c r="E61" s="279"/>
      <c r="F61" s="279"/>
      <c r="G61" s="92"/>
      <c r="H61" s="10"/>
      <c r="I61" s="129"/>
    </row>
    <row r="62" spans="1:9" ht="45" customHeight="1" outlineLevel="1" x14ac:dyDescent="0.25">
      <c r="A62" s="278" t="s">
        <v>118</v>
      </c>
      <c r="B62" s="278"/>
      <c r="C62" s="278"/>
      <c r="D62" s="278"/>
      <c r="E62" s="278"/>
      <c r="F62" s="278"/>
      <c r="G62" s="92"/>
      <c r="H62" s="10"/>
      <c r="I62" s="129"/>
    </row>
    <row r="63" spans="1:9" ht="60.75" thickBot="1" x14ac:dyDescent="0.3">
      <c r="A63" s="128"/>
      <c r="B63" t="s">
        <v>71</v>
      </c>
      <c r="C63" s="11" t="s">
        <v>72</v>
      </c>
      <c r="D63" s="11" t="s">
        <v>73</v>
      </c>
      <c r="E63" s="11" t="s">
        <v>74</v>
      </c>
      <c r="F63" s="31" t="s">
        <v>75</v>
      </c>
      <c r="G63" s="10"/>
    </row>
    <row r="64" spans="1:9" ht="16.5" thickTop="1" thickBot="1" x14ac:dyDescent="0.3">
      <c r="A64" s="139" t="s">
        <v>76</v>
      </c>
      <c r="B64" s="90">
        <v>0</v>
      </c>
      <c r="C64" s="91">
        <v>0</v>
      </c>
      <c r="D64" s="91">
        <v>0</v>
      </c>
      <c r="E64" s="91">
        <v>0</v>
      </c>
      <c r="F64" s="140">
        <f>SUM(D64:E64)</f>
        <v>0</v>
      </c>
      <c r="G64" s="10"/>
    </row>
    <row r="65" spans="1:9" s="3" customFormat="1" ht="16.5" thickTop="1" thickBot="1" x14ac:dyDescent="0.3">
      <c r="A65" s="139" t="s">
        <v>77</v>
      </c>
      <c r="B65" s="90">
        <v>0</v>
      </c>
      <c r="C65" s="91">
        <v>0</v>
      </c>
      <c r="D65" s="91">
        <v>0</v>
      </c>
      <c r="E65" s="91">
        <v>0</v>
      </c>
      <c r="F65" s="140">
        <f t="shared" ref="F65:F71" si="0">SUM(D65:E65)</f>
        <v>0</v>
      </c>
      <c r="G65" s="10"/>
    </row>
    <row r="66" spans="1:9" ht="16.5" thickTop="1" thickBot="1" x14ac:dyDescent="0.3">
      <c r="A66" s="139" t="s">
        <v>78</v>
      </c>
      <c r="B66" s="90">
        <v>0</v>
      </c>
      <c r="C66" s="91">
        <v>0</v>
      </c>
      <c r="D66" s="91">
        <v>0</v>
      </c>
      <c r="E66" s="91">
        <v>0</v>
      </c>
      <c r="F66" s="140">
        <f t="shared" si="0"/>
        <v>0</v>
      </c>
      <c r="G66" s="10"/>
    </row>
    <row r="67" spans="1:9" ht="16.5" thickTop="1" thickBot="1" x14ac:dyDescent="0.3">
      <c r="A67" s="139" t="s">
        <v>79</v>
      </c>
      <c r="B67" s="90">
        <v>0</v>
      </c>
      <c r="C67" s="91">
        <v>0</v>
      </c>
      <c r="D67" s="91">
        <v>0</v>
      </c>
      <c r="E67" s="91">
        <v>0</v>
      </c>
      <c r="F67" s="140">
        <f t="shared" si="0"/>
        <v>0</v>
      </c>
      <c r="G67" s="10"/>
    </row>
    <row r="68" spans="1:9" ht="16.5" thickTop="1" thickBot="1" x14ac:dyDescent="0.3">
      <c r="A68" s="139" t="s">
        <v>80</v>
      </c>
      <c r="B68" s="90">
        <v>0</v>
      </c>
      <c r="C68" s="91">
        <v>0</v>
      </c>
      <c r="D68" s="91">
        <v>0</v>
      </c>
      <c r="E68" s="91">
        <v>0</v>
      </c>
      <c r="F68" s="140">
        <f t="shared" si="0"/>
        <v>0</v>
      </c>
      <c r="G68" s="10"/>
    </row>
    <row r="69" spans="1:9" ht="16.5" thickTop="1" thickBot="1" x14ac:dyDescent="0.3">
      <c r="A69" s="139" t="s">
        <v>81</v>
      </c>
      <c r="B69" s="90">
        <v>0</v>
      </c>
      <c r="C69" s="91">
        <v>0</v>
      </c>
      <c r="D69" s="91">
        <v>0</v>
      </c>
      <c r="E69" s="91">
        <v>0</v>
      </c>
      <c r="F69" s="140">
        <f t="shared" si="0"/>
        <v>0</v>
      </c>
      <c r="G69" s="10"/>
    </row>
    <row r="70" spans="1:9" ht="16.5" thickTop="1" thickBot="1" x14ac:dyDescent="0.3">
      <c r="A70" s="139" t="s">
        <v>82</v>
      </c>
      <c r="B70" s="90">
        <v>0</v>
      </c>
      <c r="C70" s="91">
        <v>0</v>
      </c>
      <c r="D70" s="91">
        <v>0</v>
      </c>
      <c r="E70" s="91">
        <v>0</v>
      </c>
      <c r="F70" s="140">
        <f t="shared" si="0"/>
        <v>0</v>
      </c>
      <c r="G70" s="10"/>
    </row>
    <row r="71" spans="1:9" ht="16.5" thickTop="1" thickBot="1" x14ac:dyDescent="0.3">
      <c r="A71" s="139" t="s">
        <v>83</v>
      </c>
      <c r="B71" s="90">
        <v>0</v>
      </c>
      <c r="C71" s="91">
        <v>0</v>
      </c>
      <c r="D71" s="91">
        <v>0</v>
      </c>
      <c r="E71" s="91">
        <v>0</v>
      </c>
      <c r="F71" s="140">
        <f t="shared" si="0"/>
        <v>0</v>
      </c>
      <c r="G71" s="10"/>
    </row>
    <row r="72" spans="1:9" ht="15.75" thickTop="1" x14ac:dyDescent="0.25">
      <c r="A72" s="141" t="s">
        <v>21</v>
      </c>
      <c r="C72" s="142" t="e">
        <f>SUM((C64*B64),(C65*B65),(C66*B66),(C67*B67),(C68*B68),(C69*B69),(C70*B70),(C71*B71))/(SUM(B64:B71))</f>
        <v>#DIV/0!</v>
      </c>
      <c r="D72" s="142" t="e">
        <f>SUM((D64*B64),(D65*B65),(D66*B66),(D67*B67),(D68*B68),(D69*B69),(D70*B70),(D71*B71))/(SUM(B64:B71))</f>
        <v>#DIV/0!</v>
      </c>
      <c r="E72" s="142" t="e">
        <f>SUM((E64*B64),(E65*B65),(E66*B66),(E67*B67),(E68*B68),(E69*B69),(E70*B70),(E71*B71))/(SUM(B64:B71))</f>
        <v>#DIV/0!</v>
      </c>
      <c r="F72" s="143" t="e">
        <f>SUM((F64*B64),(F65*B65),(F66*B66),(F67*B67),(F68*B68),(F69*B69),(F70*B70),(F71*B71))/(SUM(B64:B71))</f>
        <v>#DIV/0!</v>
      </c>
      <c r="G72" s="10"/>
    </row>
    <row r="73" spans="1:9" x14ac:dyDescent="0.25">
      <c r="A73" s="144"/>
      <c r="B73" s="145"/>
      <c r="C73" s="145"/>
      <c r="E73" s="10"/>
      <c r="F73" s="10"/>
      <c r="G73" s="129"/>
    </row>
    <row r="74" spans="1:9" x14ac:dyDescent="0.25">
      <c r="A74" s="279" t="s">
        <v>84</v>
      </c>
      <c r="B74" s="279"/>
      <c r="C74" s="279"/>
      <c r="D74" s="279"/>
      <c r="E74" s="279"/>
      <c r="F74" s="279"/>
      <c r="G74" s="279"/>
      <c r="H74" s="279"/>
    </row>
    <row r="75" spans="1:9" s="1" customFormat="1" ht="50.25" customHeight="1" outlineLevel="1" x14ac:dyDescent="0.25">
      <c r="A75" s="278" t="s">
        <v>119</v>
      </c>
      <c r="B75" s="278"/>
      <c r="C75" s="278"/>
      <c r="D75" s="278"/>
      <c r="E75" s="278"/>
      <c r="F75" s="278"/>
      <c r="G75" s="278"/>
      <c r="H75" s="278"/>
      <c r="I75"/>
    </row>
    <row r="76" spans="1:9" s="3" customFormat="1" ht="28.35" customHeight="1" x14ac:dyDescent="0.25">
      <c r="A76" s="131" t="s">
        <v>51</v>
      </c>
      <c r="B76" s="131" t="s">
        <v>52</v>
      </c>
      <c r="C76" s="131" t="s">
        <v>53</v>
      </c>
      <c r="D76" s="131" t="s">
        <v>54</v>
      </c>
      <c r="E76" s="131" t="s">
        <v>55</v>
      </c>
      <c r="F76" s="131" t="s">
        <v>56</v>
      </c>
      <c r="G76" s="131" t="s">
        <v>57</v>
      </c>
      <c r="H76" s="132" t="s">
        <v>20</v>
      </c>
    </row>
    <row r="77" spans="1:9" x14ac:dyDescent="0.25">
      <c r="A77" s="75"/>
      <c r="B77" s="75"/>
      <c r="C77" s="77"/>
      <c r="D77" s="78"/>
      <c r="E77" s="79"/>
      <c r="F77" s="79"/>
      <c r="G77" s="53" t="e" cm="1">
        <f t="array" ref="G77">_xlfn.IFS(RentalAssistance196873788388939810310811311812513013514014515015516053982328333843[[#This Row],[Unit]]="Program-wide",((_xlfn.IFS(RentalAssistance196873788388939810310811311812513013514014515015516053982328333843[[#This Row],[Frequency]]="Per Year",RentalAssistance196873788388939810310811311812513013514014515015516053982328333843[[#This Row],[Cost]]/12,RentalAssistance196873788388939810310811311812513013514014515015516053982328333843[[#This Row],[Frequency]]="Per month",RentalAssistance196873788388939810310811311812513013514014515015516053982328333843[[#This Row],[Cost]],RentalAssistance196873788388939810310811311812513013514014515015516053982328333843[[#This Row],[Frequency]]="Per day",RentalAssistance196873788388939810310811311812513013514014515015516053982328333843[[#This Row],[Cost]]*30,RentalAssistance196873788388939810310811311812513013514014515015516053982328333843[[#This Row],[Frequency]]="One-time",RentalAssistance196873788388939810310811311812513013514014515015516053982328333843[[#This Row],[Cost]]/SUM($C$18,$C$19)))/$C$17),RentalAssistance196873788388939810310811311812513013514014515015516053982328333843[[#This Row],[Unit]]="Per unit/space/household",(_xlfn.IFS(RentalAssistance196873788388939810310811311812513013514014515015516053982328333843[[#This Row],[Frequency]]="Per Year",RentalAssistance196873788388939810310811311812513013514014515015516053982328333843[[#This Row],[Cost]]/12,RentalAssistance196873788388939810310811311812513013514014515015516053982328333843[[#This Row],[Frequency]]="Per month",RentalAssistance196873788388939810310811311812513013514014515015516053982328333843[[#This Row],[Cost]],RentalAssistance196873788388939810310811311812513013514014515015516053982328333843[[#This Row],[Frequency]]="Per day",RentalAssistance196873788388939810310811311812513013514014515015516053982328333843[[#This Row],[Cost]]*30,RentalAssistance196873788388939810310811311812513013514014515015516053982328333843[[#This Row],[Frequency]]="One-time",RentalAssistance196873788388939810310811311812513013514014515015516053982328333843[[#This Row],[Cost]]/SUM($C$18,$C$19))))</f>
        <v>#N/A</v>
      </c>
      <c r="H77" s="46" t="e">
        <f>RentalAssistance196873788388939810310811311812513013514014515015516053982328333843[[#This Row],[Monthly Cost Per Unit]]*12</f>
        <v>#N/A</v>
      </c>
    </row>
    <row r="78" spans="1:9" x14ac:dyDescent="0.25">
      <c r="A78" s="75"/>
      <c r="B78" s="75"/>
      <c r="C78" s="77"/>
      <c r="D78" s="78"/>
      <c r="E78" s="79"/>
      <c r="F78" s="79"/>
      <c r="G78" s="53" t="e" cm="1">
        <f t="array" ref="G78">_xlfn.IFS(RentalAssistance196873788388939810310811311812513013514014515015516053982328333843[[#This Row],[Unit]]="Program-wide",((_xlfn.IFS(RentalAssistance196873788388939810310811311812513013514014515015516053982328333843[[#This Row],[Frequency]]="Per Year",RentalAssistance196873788388939810310811311812513013514014515015516053982328333843[[#This Row],[Cost]]/12,RentalAssistance196873788388939810310811311812513013514014515015516053982328333843[[#This Row],[Frequency]]="Per month",RentalAssistance196873788388939810310811311812513013514014515015516053982328333843[[#This Row],[Cost]],RentalAssistance196873788388939810310811311812513013514014515015516053982328333843[[#This Row],[Frequency]]="Per day",RentalAssistance196873788388939810310811311812513013514014515015516053982328333843[[#This Row],[Cost]]*30,RentalAssistance196873788388939810310811311812513013514014515015516053982328333843[[#This Row],[Frequency]]="One-time",RentalAssistance196873788388939810310811311812513013514014515015516053982328333843[[#This Row],[Cost]]/SUM($C$18,$C$19)))/$C$17),RentalAssistance196873788388939810310811311812513013514014515015516053982328333843[[#This Row],[Unit]]="Per unit/space/household",(_xlfn.IFS(RentalAssistance196873788388939810310811311812513013514014515015516053982328333843[[#This Row],[Frequency]]="Per Year",RentalAssistance196873788388939810310811311812513013514014515015516053982328333843[[#This Row],[Cost]]/12,RentalAssistance196873788388939810310811311812513013514014515015516053982328333843[[#This Row],[Frequency]]="Per month",RentalAssistance196873788388939810310811311812513013514014515015516053982328333843[[#This Row],[Cost]],RentalAssistance196873788388939810310811311812513013514014515015516053982328333843[[#This Row],[Frequency]]="Per day",RentalAssistance196873788388939810310811311812513013514014515015516053982328333843[[#This Row],[Cost]]*30,RentalAssistance196873788388939810310811311812513013514014515015516053982328333843[[#This Row],[Frequency]]="One-time",RentalAssistance196873788388939810310811311812513013514014515015516053982328333843[[#This Row],[Cost]]/SUM($C$18,$C$19))))</f>
        <v>#N/A</v>
      </c>
      <c r="H78" s="46" t="e">
        <f>RentalAssistance196873788388939810310811311812513013514014515015516053982328333843[[#This Row],[Monthly Cost Per Unit]]*12</f>
        <v>#N/A</v>
      </c>
    </row>
    <row r="79" spans="1:9" x14ac:dyDescent="0.25">
      <c r="A79" s="75"/>
      <c r="B79" s="75"/>
      <c r="C79" s="77"/>
      <c r="D79" s="78"/>
      <c r="E79" s="79"/>
      <c r="F79" s="79"/>
      <c r="G79" s="53" t="e" cm="1">
        <f t="array" ref="G79">_xlfn.IFS(RentalAssistance196873788388939810310811311812513013514014515015516053982328333843[[#This Row],[Unit]]="Program-wide",((_xlfn.IFS(RentalAssistance196873788388939810310811311812513013514014515015516053982328333843[[#This Row],[Frequency]]="Per Year",RentalAssistance196873788388939810310811311812513013514014515015516053982328333843[[#This Row],[Cost]]/12,RentalAssistance196873788388939810310811311812513013514014515015516053982328333843[[#This Row],[Frequency]]="Per month",RentalAssistance196873788388939810310811311812513013514014515015516053982328333843[[#This Row],[Cost]],RentalAssistance196873788388939810310811311812513013514014515015516053982328333843[[#This Row],[Frequency]]="Per day",RentalAssistance196873788388939810310811311812513013514014515015516053982328333843[[#This Row],[Cost]]*30,RentalAssistance196873788388939810310811311812513013514014515015516053982328333843[[#This Row],[Frequency]]="One-time",RentalAssistance196873788388939810310811311812513013514014515015516053982328333843[[#This Row],[Cost]]/SUM($C$18,$C$19)))/$C$17),RentalAssistance196873788388939810310811311812513013514014515015516053982328333843[[#This Row],[Unit]]="Per unit/space/household",(_xlfn.IFS(RentalAssistance196873788388939810310811311812513013514014515015516053982328333843[[#This Row],[Frequency]]="Per Year",RentalAssistance196873788388939810310811311812513013514014515015516053982328333843[[#This Row],[Cost]]/12,RentalAssistance196873788388939810310811311812513013514014515015516053982328333843[[#This Row],[Frequency]]="Per month",RentalAssistance196873788388939810310811311812513013514014515015516053982328333843[[#This Row],[Cost]],RentalAssistance196873788388939810310811311812513013514014515015516053982328333843[[#This Row],[Frequency]]="Per day",RentalAssistance196873788388939810310811311812513013514014515015516053982328333843[[#This Row],[Cost]]*30,RentalAssistance196873788388939810310811311812513013514014515015516053982328333843[[#This Row],[Frequency]]="One-time",RentalAssistance196873788388939810310811311812513013514014515015516053982328333843[[#This Row],[Cost]]/SUM($C$18,$C$19))))</f>
        <v>#N/A</v>
      </c>
      <c r="H79" s="46" t="e">
        <f>RentalAssistance196873788388939810310811311812513013514014515015516053982328333843[[#This Row],[Monthly Cost Per Unit]]*12</f>
        <v>#N/A</v>
      </c>
    </row>
    <row r="80" spans="1:9" x14ac:dyDescent="0.25">
      <c r="A80" s="75"/>
      <c r="B80" s="75"/>
      <c r="C80" s="77"/>
      <c r="D80" s="78"/>
      <c r="E80" s="79"/>
      <c r="F80" s="79"/>
      <c r="G80" s="53" t="e" cm="1">
        <f t="array" ref="G80">_xlfn.IFS(RentalAssistance196873788388939810310811311812513013514014515015516053982328333843[[#This Row],[Unit]]="Program-wide",((_xlfn.IFS(RentalAssistance196873788388939810310811311812513013514014515015516053982328333843[[#This Row],[Frequency]]="Per Year",RentalAssistance196873788388939810310811311812513013514014515015516053982328333843[[#This Row],[Cost]]/12,RentalAssistance196873788388939810310811311812513013514014515015516053982328333843[[#This Row],[Frequency]]="Per month",RentalAssistance196873788388939810310811311812513013514014515015516053982328333843[[#This Row],[Cost]],RentalAssistance196873788388939810310811311812513013514014515015516053982328333843[[#This Row],[Frequency]]="Per day",RentalAssistance196873788388939810310811311812513013514014515015516053982328333843[[#This Row],[Cost]]*30,RentalAssistance196873788388939810310811311812513013514014515015516053982328333843[[#This Row],[Frequency]]="One-time",RentalAssistance196873788388939810310811311812513013514014515015516053982328333843[[#This Row],[Cost]]/SUM($C$18,$C$19)))/$C$17),RentalAssistance196873788388939810310811311812513013514014515015516053982328333843[[#This Row],[Unit]]="Per unit/space/household",(_xlfn.IFS(RentalAssistance196873788388939810310811311812513013514014515015516053982328333843[[#This Row],[Frequency]]="Per Year",RentalAssistance196873788388939810310811311812513013514014515015516053982328333843[[#This Row],[Cost]]/12,RentalAssistance196873788388939810310811311812513013514014515015516053982328333843[[#This Row],[Frequency]]="Per month",RentalAssistance196873788388939810310811311812513013514014515015516053982328333843[[#This Row],[Cost]],RentalAssistance196873788388939810310811311812513013514014515015516053982328333843[[#This Row],[Frequency]]="Per day",RentalAssistance196873788388939810310811311812513013514014515015516053982328333843[[#This Row],[Cost]]*30,RentalAssistance196873788388939810310811311812513013514014515015516053982328333843[[#This Row],[Frequency]]="One-time",RentalAssistance196873788388939810310811311812513013514014515015516053982328333843[[#This Row],[Cost]]/SUM($C$18,$C$19))))</f>
        <v>#N/A</v>
      </c>
      <c r="H80" s="46" t="e">
        <f>RentalAssistance196873788388939810310811311812513013514014515015516053982328333843[[#This Row],[Monthly Cost Per Unit]]*12</f>
        <v>#N/A</v>
      </c>
    </row>
    <row r="81" spans="1:8" x14ac:dyDescent="0.25">
      <c r="A81" s="75"/>
      <c r="B81" s="75"/>
      <c r="C81" s="77"/>
      <c r="D81" s="78"/>
      <c r="E81" s="79"/>
      <c r="F81" s="79"/>
      <c r="G81" s="53" t="e" cm="1">
        <f t="array" ref="G81">_xlfn.IFS(RentalAssistance196873788388939810310811311812513013514014515015516053982328333843[[#This Row],[Unit]]="Program-wide",((_xlfn.IFS(RentalAssistance196873788388939810310811311812513013514014515015516053982328333843[[#This Row],[Frequency]]="Per Year",RentalAssistance196873788388939810310811311812513013514014515015516053982328333843[[#This Row],[Cost]]/12,RentalAssistance196873788388939810310811311812513013514014515015516053982328333843[[#This Row],[Frequency]]="Per month",RentalAssistance196873788388939810310811311812513013514014515015516053982328333843[[#This Row],[Cost]],RentalAssistance196873788388939810310811311812513013514014515015516053982328333843[[#This Row],[Frequency]]="Per day",RentalAssistance196873788388939810310811311812513013514014515015516053982328333843[[#This Row],[Cost]]*30,RentalAssistance196873788388939810310811311812513013514014515015516053982328333843[[#This Row],[Frequency]]="One-time",RentalAssistance196873788388939810310811311812513013514014515015516053982328333843[[#This Row],[Cost]]/SUM($C$18,$C$19)))/$C$17),RentalAssistance196873788388939810310811311812513013514014515015516053982328333843[[#This Row],[Unit]]="Per unit/space/household",(_xlfn.IFS(RentalAssistance196873788388939810310811311812513013514014515015516053982328333843[[#This Row],[Frequency]]="Per Year",RentalAssistance196873788388939810310811311812513013514014515015516053982328333843[[#This Row],[Cost]]/12,RentalAssistance196873788388939810310811311812513013514014515015516053982328333843[[#This Row],[Frequency]]="Per month",RentalAssistance196873788388939810310811311812513013514014515015516053982328333843[[#This Row],[Cost]],RentalAssistance196873788388939810310811311812513013514014515015516053982328333843[[#This Row],[Frequency]]="Per day",RentalAssistance196873788388939810310811311812513013514014515015516053982328333843[[#This Row],[Cost]]*30,RentalAssistance196873788388939810310811311812513013514014515015516053982328333843[[#This Row],[Frequency]]="One-time",RentalAssistance196873788388939810310811311812513013514014515015516053982328333843[[#This Row],[Cost]]/SUM($C$18,$C$19))))</f>
        <v>#N/A</v>
      </c>
      <c r="H81" s="46" t="e">
        <f>RentalAssistance196873788388939810310811311812513013514014515015516053982328333843[[#This Row],[Monthly Cost Per Unit]]*12</f>
        <v>#N/A</v>
      </c>
    </row>
    <row r="82" spans="1:8" x14ac:dyDescent="0.25">
      <c r="A82" s="75"/>
      <c r="B82" s="75"/>
      <c r="C82" s="77"/>
      <c r="D82" s="78"/>
      <c r="E82" s="79"/>
      <c r="F82" s="79"/>
      <c r="G82" s="53" t="e" cm="1">
        <f t="array" ref="G82">_xlfn.IFS(RentalAssistance196873788388939810310811311812513013514014515015516053982328333843[[#This Row],[Unit]]="Program-wide",((_xlfn.IFS(RentalAssistance196873788388939810310811311812513013514014515015516053982328333843[[#This Row],[Frequency]]="Per Year",RentalAssistance196873788388939810310811311812513013514014515015516053982328333843[[#This Row],[Cost]]/12,RentalAssistance196873788388939810310811311812513013514014515015516053982328333843[[#This Row],[Frequency]]="Per month",RentalAssistance196873788388939810310811311812513013514014515015516053982328333843[[#This Row],[Cost]],RentalAssistance196873788388939810310811311812513013514014515015516053982328333843[[#This Row],[Frequency]]="Per day",RentalAssistance196873788388939810310811311812513013514014515015516053982328333843[[#This Row],[Cost]]*30,RentalAssistance196873788388939810310811311812513013514014515015516053982328333843[[#This Row],[Frequency]]="One-time",RentalAssistance196873788388939810310811311812513013514014515015516053982328333843[[#This Row],[Cost]]/SUM($C$18,$C$19)))/$C$17),RentalAssistance196873788388939810310811311812513013514014515015516053982328333843[[#This Row],[Unit]]="Per unit/space/household",(_xlfn.IFS(RentalAssistance196873788388939810310811311812513013514014515015516053982328333843[[#This Row],[Frequency]]="Per Year",RentalAssistance196873788388939810310811311812513013514014515015516053982328333843[[#This Row],[Cost]]/12,RentalAssistance196873788388939810310811311812513013514014515015516053982328333843[[#This Row],[Frequency]]="Per month",RentalAssistance196873788388939810310811311812513013514014515015516053982328333843[[#This Row],[Cost]],RentalAssistance196873788388939810310811311812513013514014515015516053982328333843[[#This Row],[Frequency]]="Per day",RentalAssistance196873788388939810310811311812513013514014515015516053982328333843[[#This Row],[Cost]]*30,RentalAssistance196873788388939810310811311812513013514014515015516053982328333843[[#This Row],[Frequency]]="One-time",RentalAssistance196873788388939810310811311812513013514014515015516053982328333843[[#This Row],[Cost]]/SUM($C$18,$C$19))))</f>
        <v>#N/A</v>
      </c>
      <c r="H82" s="46" t="e">
        <f>RentalAssistance196873788388939810310811311812513013514014515015516053982328333843[[#This Row],[Monthly Cost Per Unit]]*12</f>
        <v>#N/A</v>
      </c>
    </row>
    <row r="83" spans="1:8" x14ac:dyDescent="0.25">
      <c r="A83" s="75"/>
      <c r="B83" s="75"/>
      <c r="C83" s="77"/>
      <c r="D83" s="78"/>
      <c r="E83" s="79"/>
      <c r="F83" s="79"/>
      <c r="G83" s="53" t="e" cm="1">
        <f t="array" ref="G83">_xlfn.IFS(RentalAssistance196873788388939810310811311812513013514014515015516053982328333843[[#This Row],[Unit]]="Program-wide",((_xlfn.IFS(RentalAssistance196873788388939810310811311812513013514014515015516053982328333843[[#This Row],[Frequency]]="Per Year",RentalAssistance196873788388939810310811311812513013514014515015516053982328333843[[#This Row],[Cost]]/12,RentalAssistance196873788388939810310811311812513013514014515015516053982328333843[[#This Row],[Frequency]]="Per month",RentalAssistance196873788388939810310811311812513013514014515015516053982328333843[[#This Row],[Cost]],RentalAssistance196873788388939810310811311812513013514014515015516053982328333843[[#This Row],[Frequency]]="Per day",RentalAssistance196873788388939810310811311812513013514014515015516053982328333843[[#This Row],[Cost]]*30,RentalAssistance196873788388939810310811311812513013514014515015516053982328333843[[#This Row],[Frequency]]="One-time",RentalAssistance196873788388939810310811311812513013514014515015516053982328333843[[#This Row],[Cost]]/SUM($C$18,$C$19)))/$C$17),RentalAssistance196873788388939810310811311812513013514014515015516053982328333843[[#This Row],[Unit]]="Per unit/space/household",(_xlfn.IFS(RentalAssistance196873788388939810310811311812513013514014515015516053982328333843[[#This Row],[Frequency]]="Per Year",RentalAssistance196873788388939810310811311812513013514014515015516053982328333843[[#This Row],[Cost]]/12,RentalAssistance196873788388939810310811311812513013514014515015516053982328333843[[#This Row],[Frequency]]="Per month",RentalAssistance196873788388939810310811311812513013514014515015516053982328333843[[#This Row],[Cost]],RentalAssistance196873788388939810310811311812513013514014515015516053982328333843[[#This Row],[Frequency]]="Per day",RentalAssistance196873788388939810310811311812513013514014515015516053982328333843[[#This Row],[Cost]]*30,RentalAssistance196873788388939810310811311812513013514014515015516053982328333843[[#This Row],[Frequency]]="One-time",RentalAssistance196873788388939810310811311812513013514014515015516053982328333843[[#This Row],[Cost]]/SUM($C$18,$C$19))))</f>
        <v>#N/A</v>
      </c>
      <c r="H83" s="46" t="e">
        <f>RentalAssistance196873788388939810310811311812513013514014515015516053982328333843[[#This Row],[Monthly Cost Per Unit]]*12</f>
        <v>#N/A</v>
      </c>
    </row>
    <row r="84" spans="1:8" x14ac:dyDescent="0.25">
      <c r="A84" s="75"/>
      <c r="B84" s="75"/>
      <c r="C84" s="77"/>
      <c r="D84" s="78"/>
      <c r="E84" s="79"/>
      <c r="F84" s="79"/>
      <c r="G84" s="53" t="e" cm="1">
        <f t="array" ref="G84">_xlfn.IFS(RentalAssistance196873788388939810310811311812513013514014515015516053982328333843[[#This Row],[Unit]]="Program-wide",((_xlfn.IFS(RentalAssistance196873788388939810310811311812513013514014515015516053982328333843[[#This Row],[Frequency]]="Per Year",RentalAssistance196873788388939810310811311812513013514014515015516053982328333843[[#This Row],[Cost]]/12,RentalAssistance196873788388939810310811311812513013514014515015516053982328333843[[#This Row],[Frequency]]="Per month",RentalAssistance196873788388939810310811311812513013514014515015516053982328333843[[#This Row],[Cost]],RentalAssistance196873788388939810310811311812513013514014515015516053982328333843[[#This Row],[Frequency]]="Per day",RentalAssistance196873788388939810310811311812513013514014515015516053982328333843[[#This Row],[Cost]]*30,RentalAssistance196873788388939810310811311812513013514014515015516053982328333843[[#This Row],[Frequency]]="One-time",RentalAssistance196873788388939810310811311812513013514014515015516053982328333843[[#This Row],[Cost]]/SUM($C$18,$C$19)))/$C$17),RentalAssistance196873788388939810310811311812513013514014515015516053982328333843[[#This Row],[Unit]]="Per unit/space/household",(_xlfn.IFS(RentalAssistance196873788388939810310811311812513013514014515015516053982328333843[[#This Row],[Frequency]]="Per Year",RentalAssistance196873788388939810310811311812513013514014515015516053982328333843[[#This Row],[Cost]]/12,RentalAssistance196873788388939810310811311812513013514014515015516053982328333843[[#This Row],[Frequency]]="Per month",RentalAssistance196873788388939810310811311812513013514014515015516053982328333843[[#This Row],[Cost]],RentalAssistance196873788388939810310811311812513013514014515015516053982328333843[[#This Row],[Frequency]]="Per day",RentalAssistance196873788388939810310811311812513013514014515015516053982328333843[[#This Row],[Cost]]*30,RentalAssistance196873788388939810310811311812513013514014515015516053982328333843[[#This Row],[Frequency]]="One-time",RentalAssistance196873788388939810310811311812513013514014515015516053982328333843[[#This Row],[Cost]]/SUM($C$18,$C$19))))</f>
        <v>#N/A</v>
      </c>
      <c r="H84" s="46" t="e">
        <f>RentalAssistance196873788388939810310811311812513013514014515015516053982328333843[[#This Row],[Monthly Cost Per Unit]]*12</f>
        <v>#N/A</v>
      </c>
    </row>
    <row r="85" spans="1:8" x14ac:dyDescent="0.25">
      <c r="A85" s="80"/>
      <c r="B85" s="80"/>
      <c r="C85" s="82"/>
      <c r="D85" s="83"/>
      <c r="E85" s="84"/>
      <c r="F85" s="84"/>
      <c r="G85" s="55" t="e" cm="1">
        <f t="array" ref="G85">_xlfn.IFS(RentalAssistance196873788388939810310811311812513013514014515015516053982328333843[[#This Row],[Unit]]="Program-wide",((_xlfn.IFS(RentalAssistance196873788388939810310811311812513013514014515015516053982328333843[[#This Row],[Frequency]]="Per Year",RentalAssistance196873788388939810310811311812513013514014515015516053982328333843[[#This Row],[Cost]]/12,RentalAssistance196873788388939810310811311812513013514014515015516053982328333843[[#This Row],[Frequency]]="Per month",RentalAssistance196873788388939810310811311812513013514014515015516053982328333843[[#This Row],[Cost]],RentalAssistance196873788388939810310811311812513013514014515015516053982328333843[[#This Row],[Frequency]]="Per day",RentalAssistance196873788388939810310811311812513013514014515015516053982328333843[[#This Row],[Cost]]*30,RentalAssistance196873788388939810310811311812513013514014515015516053982328333843[[#This Row],[Frequency]]="One-time",RentalAssistance196873788388939810310811311812513013514014515015516053982328333843[[#This Row],[Cost]]/SUM($C$18,$C$19)))/$C$17),RentalAssistance196873788388939810310811311812513013514014515015516053982328333843[[#This Row],[Unit]]="Per unit/space/household",(_xlfn.IFS(RentalAssistance196873788388939810310811311812513013514014515015516053982328333843[[#This Row],[Frequency]]="Per Year",RentalAssistance196873788388939810310811311812513013514014515015516053982328333843[[#This Row],[Cost]]/12,RentalAssistance196873788388939810310811311812513013514014515015516053982328333843[[#This Row],[Frequency]]="Per month",RentalAssistance196873788388939810310811311812513013514014515015516053982328333843[[#This Row],[Cost]],RentalAssistance196873788388939810310811311812513013514014515015516053982328333843[[#This Row],[Frequency]]="Per day",RentalAssistance196873788388939810310811311812513013514014515015516053982328333843[[#This Row],[Cost]]*30,RentalAssistance196873788388939810310811311812513013514014515015516053982328333843[[#This Row],[Frequency]]="One-time",RentalAssistance196873788388939810310811311812513013514014515015516053982328333843[[#This Row],[Cost]]/SUM($C$18,$C$19))))</f>
        <v>#N/A</v>
      </c>
      <c r="H85" s="46" t="e">
        <f>RentalAssistance196873788388939810310811311812513013514014515015516053982328333843[[#This Row],[Monthly Cost Per Unit]]*12</f>
        <v>#N/A</v>
      </c>
    </row>
    <row r="86" spans="1:8" x14ac:dyDescent="0.25">
      <c r="A86" s="107" t="s">
        <v>20</v>
      </c>
      <c r="B86" s="107"/>
      <c r="C86" s="108" t="s">
        <v>68</v>
      </c>
      <c r="D86" s="109"/>
      <c r="E86" s="108"/>
      <c r="F86" s="108"/>
      <c r="G86" s="118"/>
      <c r="H86" s="111">
        <f>(SUMIF(RentalAssistance196873788388939810310811311812513013514014515015516053982328333843[Duration],"While homeless only",RentalAssistance196873788388939810310811311812513013514014515015516053982328333843[Monthly Cost Per Unit]))*12</f>
        <v>0</v>
      </c>
    </row>
    <row r="87" spans="1:8" x14ac:dyDescent="0.25">
      <c r="A87" s="112"/>
      <c r="B87" s="112"/>
      <c r="C87" s="108" t="s">
        <v>63</v>
      </c>
      <c r="D87" s="109"/>
      <c r="E87" s="108"/>
      <c r="F87" s="108"/>
      <c r="G87" s="111"/>
      <c r="H87" s="111">
        <f>(SUMIF(RentalAssistance196873788388939810310811311812513013514014515015516053982328333843[Duration],"While housed only",RentalAssistance196873788388939810310811311812513013514014515015516053982328333843[Monthly Cost Per Unit]))*12</f>
        <v>0</v>
      </c>
    </row>
    <row r="88" spans="1:8" x14ac:dyDescent="0.25">
      <c r="A88" s="112"/>
      <c r="B88" s="112"/>
      <c r="C88" s="108" t="s">
        <v>58</v>
      </c>
      <c r="D88" s="109"/>
      <c r="E88" s="108"/>
      <c r="F88" s="108"/>
      <c r="G88" s="111"/>
      <c r="H88" s="111">
        <f>(SUMIF(RentalAssistance196873788388939810310811311812513013514014515015516053982328333843[Duration],"Homeless &amp; housed",RentalAssistance196873788388939810310811311812513013514014515015516053982328333843[Monthly Cost Per Unit]))*12</f>
        <v>0</v>
      </c>
    </row>
    <row r="89" spans="1:8" ht="15.75" thickBot="1" x14ac:dyDescent="0.3">
      <c r="A89" s="113"/>
      <c r="B89" s="113"/>
      <c r="C89" s="114" t="s">
        <v>207</v>
      </c>
      <c r="D89" s="115"/>
      <c r="E89" s="114"/>
      <c r="F89" s="114"/>
      <c r="G89" s="117"/>
      <c r="H89" s="117">
        <f>(SUMIF(RentalAssistance196873788388939810310811311812513013514014515015516053982328333843[Duration],"N/A",RentalAssistance196873788388939810310811311812513013514014515015516053982328333843[Monthly Cost Per Unit]))*12</f>
        <v>0</v>
      </c>
    </row>
    <row r="90" spans="1:8" ht="16.5" thickTop="1" thickBot="1" x14ac:dyDescent="0.3">
      <c r="A90" s="113"/>
      <c r="B90" s="113"/>
      <c r="C90" s="114" t="s">
        <v>42</v>
      </c>
      <c r="D90" s="115"/>
      <c r="E90" s="114"/>
      <c r="F90" s="114"/>
      <c r="G90" s="117"/>
      <c r="H90" s="117">
        <f>SUM(H86:H89)</f>
        <v>0</v>
      </c>
    </row>
    <row r="91" spans="1:8" ht="15.75" thickTop="1" x14ac:dyDescent="0.25">
      <c r="A91" s="146"/>
      <c r="B91" s="137"/>
      <c r="C91" s="137"/>
      <c r="D91" s="137"/>
      <c r="E91" s="137"/>
      <c r="F91" s="138"/>
      <c r="G91"/>
      <c r="H91" s="128"/>
    </row>
    <row r="92" spans="1:8" x14ac:dyDescent="0.25">
      <c r="A92" s="274" t="s">
        <v>88</v>
      </c>
      <c r="B92" s="274"/>
      <c r="C92" s="274"/>
      <c r="D92" s="274"/>
      <c r="E92" s="274"/>
      <c r="F92" s="274"/>
      <c r="G92" s="274"/>
      <c r="H92" s="274"/>
    </row>
    <row r="93" spans="1:8" ht="32.25" customHeight="1" outlineLevel="1" x14ac:dyDescent="0.25">
      <c r="A93" s="294" t="s">
        <v>89</v>
      </c>
      <c r="B93" s="294"/>
      <c r="C93" s="294"/>
      <c r="D93" s="294"/>
      <c r="E93" s="294"/>
      <c r="F93" s="294"/>
      <c r="G93" s="294"/>
      <c r="H93" s="294"/>
    </row>
    <row r="94" spans="1:8" ht="30" x14ac:dyDescent="0.25">
      <c r="A94" s="131" t="s">
        <v>51</v>
      </c>
      <c r="B94" s="131" t="s">
        <v>52</v>
      </c>
      <c r="C94" s="131" t="s">
        <v>53</v>
      </c>
      <c r="D94" s="131" t="s">
        <v>54</v>
      </c>
      <c r="E94" s="131" t="s">
        <v>55</v>
      </c>
      <c r="F94" s="131" t="s">
        <v>56</v>
      </c>
      <c r="G94" s="131" t="s">
        <v>57</v>
      </c>
      <c r="H94" s="132" t="s">
        <v>20</v>
      </c>
    </row>
    <row r="95" spans="1:8" x14ac:dyDescent="0.25">
      <c r="A95" s="75"/>
      <c r="B95" s="75"/>
      <c r="C95" s="77"/>
      <c r="D95" s="78"/>
      <c r="E95" s="79"/>
      <c r="F95" s="76"/>
      <c r="G95" s="53" t="e" cm="1">
        <f t="array" ref="G95">_xlfn.IFS(Services1106974798489949910410911411912613113614114615115616154992429343944[[#This Row],[Unit]]="Program-wide",((_xlfn.IFS(Services1106974798489949910410911411912613113614114615115616154992429343944[[#This Row],[Frequency]]="Per Year",Services1106974798489949910410911411912613113614114615115616154992429343944[[#This Row],[Cost]]/12,Services1106974798489949910410911411912613113614114615115616154992429343944[[#This Row],[Frequency]]="Per month",Services1106974798489949910410911411912613113614114615115616154992429343944[[#This Row],[Cost]],Services1106974798489949910410911411912613113614114615115616154992429343944[[#This Row],[Frequency]]="Per day",Services1106974798489949910410911411912613113614114615115616154992429343944[[#This Row],[Cost]]*30,Services1106974798489949910410911411912613113614114615115616154992429343944[[#This Row],[Frequency]]="One-time",Services1106974798489949910410911411912613113614114615115616154992429343944[[#This Row],[Cost]]/SUM($C$18,$C$19)))/$C$17),Services1106974798489949910410911411912613113614114615115616154992429343944[[#This Row],[Unit]]="Per unit/space/household",(_xlfn.IFS(Services1106974798489949910410911411912613113614114615115616154992429343944[[#This Row],[Frequency]]="Per Year",Services1106974798489949910410911411912613113614114615115616154992429343944[[#This Row],[Cost]]/12,Services1106974798489949910410911411912613113614114615115616154992429343944[[#This Row],[Frequency]]="Per month",Services1106974798489949910410911411912613113614114615115616154992429343944[[#This Row],[Cost]],Services1106974798489949910410911411912613113614114615115616154992429343944[[#This Row],[Frequency]]="Per day",Services1106974798489949910410911411912613113614114615115616154992429343944[[#This Row],[Cost]]*30,Services1106974798489949910410911411912613113614114615115616154992429343944[[#This Row],[Frequency]]="One-time",Services1106974798489949910410911411912613113614114615115616154992429343944[[#This Row],[Cost]]/SUM($C$18,$C$19))))</f>
        <v>#N/A</v>
      </c>
      <c r="H95" s="46" t="e">
        <f>Services1106974798489949910410911411912613113614114615115616154992429343944[[#This Row],[Monthly Cost Per Unit]]*12</f>
        <v>#N/A</v>
      </c>
    </row>
    <row r="96" spans="1:8" x14ac:dyDescent="0.25">
      <c r="A96" s="75"/>
      <c r="B96" s="75"/>
      <c r="C96" s="77"/>
      <c r="D96" s="78"/>
      <c r="E96" s="79"/>
      <c r="F96" s="76"/>
      <c r="G96" s="53" t="e" cm="1">
        <f t="array" ref="G96">_xlfn.IFS(Services1106974798489949910410911411912613113614114615115616154992429343944[[#This Row],[Unit]]="Program-wide",((_xlfn.IFS(Services1106974798489949910410911411912613113614114615115616154992429343944[[#This Row],[Frequency]]="Per Year",Services1106974798489949910410911411912613113614114615115616154992429343944[[#This Row],[Cost]]/12,Services1106974798489949910410911411912613113614114615115616154992429343944[[#This Row],[Frequency]]="Per month",Services1106974798489949910410911411912613113614114615115616154992429343944[[#This Row],[Cost]],Services1106974798489949910410911411912613113614114615115616154992429343944[[#This Row],[Frequency]]="Per day",Services1106974798489949910410911411912613113614114615115616154992429343944[[#This Row],[Cost]]*30,Services1106974798489949910410911411912613113614114615115616154992429343944[[#This Row],[Frequency]]="One-time",Services1106974798489949910410911411912613113614114615115616154992429343944[[#This Row],[Cost]]/SUM($C$18,$C$19)))/$C$17),Services1106974798489949910410911411912613113614114615115616154992429343944[[#This Row],[Unit]]="Per unit/space/household",(_xlfn.IFS(Services1106974798489949910410911411912613113614114615115616154992429343944[[#This Row],[Frequency]]="Per Year",Services1106974798489949910410911411912613113614114615115616154992429343944[[#This Row],[Cost]]/12,Services1106974798489949910410911411912613113614114615115616154992429343944[[#This Row],[Frequency]]="Per month",Services1106974798489949910410911411912613113614114615115616154992429343944[[#This Row],[Cost]],Services1106974798489949910410911411912613113614114615115616154992429343944[[#This Row],[Frequency]]="Per day",Services1106974798489949910410911411912613113614114615115616154992429343944[[#This Row],[Cost]]*30,Services1106974798489949910410911411912613113614114615115616154992429343944[[#This Row],[Frequency]]="One-time",Services1106974798489949910410911411912613113614114615115616154992429343944[[#This Row],[Cost]]/SUM($C$18,$C$19))))</f>
        <v>#N/A</v>
      </c>
      <c r="H96" s="46" t="e">
        <f>Services1106974798489949910410911411912613113614114615115616154992429343944[[#This Row],[Monthly Cost Per Unit]]*12</f>
        <v>#N/A</v>
      </c>
    </row>
    <row r="97" spans="1:8" x14ac:dyDescent="0.25">
      <c r="A97" s="75"/>
      <c r="B97" s="75"/>
      <c r="C97" s="77"/>
      <c r="D97" s="78"/>
      <c r="E97" s="79"/>
      <c r="F97" s="76"/>
      <c r="G97" s="53" t="e" cm="1">
        <f t="array" ref="G97">_xlfn.IFS(Services1106974798489949910410911411912613113614114615115616154992429343944[[#This Row],[Unit]]="Program-wide",((_xlfn.IFS(Services1106974798489949910410911411912613113614114615115616154992429343944[[#This Row],[Frequency]]="Per Year",Services1106974798489949910410911411912613113614114615115616154992429343944[[#This Row],[Cost]]/12,Services1106974798489949910410911411912613113614114615115616154992429343944[[#This Row],[Frequency]]="Per month",Services1106974798489949910410911411912613113614114615115616154992429343944[[#This Row],[Cost]],Services1106974798489949910410911411912613113614114615115616154992429343944[[#This Row],[Frequency]]="Per day",Services1106974798489949910410911411912613113614114615115616154992429343944[[#This Row],[Cost]]*30,Services1106974798489949910410911411912613113614114615115616154992429343944[[#This Row],[Frequency]]="One-time",Services1106974798489949910410911411912613113614114615115616154992429343944[[#This Row],[Cost]]/SUM($C$18,$C$19)))/$C$17),Services1106974798489949910410911411912613113614114615115616154992429343944[[#This Row],[Unit]]="Per unit/space/household",(_xlfn.IFS(Services1106974798489949910410911411912613113614114615115616154992429343944[[#This Row],[Frequency]]="Per Year",Services1106974798489949910410911411912613113614114615115616154992429343944[[#This Row],[Cost]]/12,Services1106974798489949910410911411912613113614114615115616154992429343944[[#This Row],[Frequency]]="Per month",Services1106974798489949910410911411912613113614114615115616154992429343944[[#This Row],[Cost]],Services1106974798489949910410911411912613113614114615115616154992429343944[[#This Row],[Frequency]]="Per day",Services1106974798489949910410911411912613113614114615115616154992429343944[[#This Row],[Cost]]*30,Services1106974798489949910410911411912613113614114615115616154992429343944[[#This Row],[Frequency]]="One-time",Services1106974798489949910410911411912613113614114615115616154992429343944[[#This Row],[Cost]]/SUM($C$18,$C$19))))</f>
        <v>#N/A</v>
      </c>
      <c r="H97" s="46" t="e">
        <f>Services1106974798489949910410911411912613113614114615115616154992429343944[[#This Row],[Monthly Cost Per Unit]]*12</f>
        <v>#N/A</v>
      </c>
    </row>
    <row r="98" spans="1:8" x14ac:dyDescent="0.25">
      <c r="A98" s="75"/>
      <c r="B98" s="75"/>
      <c r="C98" s="77"/>
      <c r="D98" s="78"/>
      <c r="E98" s="79"/>
      <c r="F98" s="76"/>
      <c r="G98" s="53" t="e" cm="1">
        <f t="array" ref="G98">_xlfn.IFS(Services1106974798489949910410911411912613113614114615115616154992429343944[[#This Row],[Unit]]="Program-wide",((_xlfn.IFS(Services1106974798489949910410911411912613113614114615115616154992429343944[[#This Row],[Frequency]]="Per Year",Services1106974798489949910410911411912613113614114615115616154992429343944[[#This Row],[Cost]]/12,Services1106974798489949910410911411912613113614114615115616154992429343944[[#This Row],[Frequency]]="Per month",Services1106974798489949910410911411912613113614114615115616154992429343944[[#This Row],[Cost]],Services1106974798489949910410911411912613113614114615115616154992429343944[[#This Row],[Frequency]]="Per day",Services1106974798489949910410911411912613113614114615115616154992429343944[[#This Row],[Cost]]*30,Services1106974798489949910410911411912613113614114615115616154992429343944[[#This Row],[Frequency]]="One-time",Services1106974798489949910410911411912613113614114615115616154992429343944[[#This Row],[Cost]]/SUM($C$18,$C$19)))/$C$17),Services1106974798489949910410911411912613113614114615115616154992429343944[[#This Row],[Unit]]="Per unit/space/household",(_xlfn.IFS(Services1106974798489949910410911411912613113614114615115616154992429343944[[#This Row],[Frequency]]="Per Year",Services1106974798489949910410911411912613113614114615115616154992429343944[[#This Row],[Cost]]/12,Services1106974798489949910410911411912613113614114615115616154992429343944[[#This Row],[Frequency]]="Per month",Services1106974798489949910410911411912613113614114615115616154992429343944[[#This Row],[Cost]],Services1106974798489949910410911411912613113614114615115616154992429343944[[#This Row],[Frequency]]="Per day",Services1106974798489949910410911411912613113614114615115616154992429343944[[#This Row],[Cost]]*30,Services1106974798489949910410911411912613113614114615115616154992429343944[[#This Row],[Frequency]]="One-time",Services1106974798489949910410911411912613113614114615115616154992429343944[[#This Row],[Cost]]/SUM($C$18,$C$19))))</f>
        <v>#N/A</v>
      </c>
      <c r="H98" s="46" t="e">
        <f>Services1106974798489949910410911411912613113614114615115616154992429343944[[#This Row],[Monthly Cost Per Unit]]*12</f>
        <v>#N/A</v>
      </c>
    </row>
    <row r="99" spans="1:8" x14ac:dyDescent="0.25">
      <c r="A99" s="75"/>
      <c r="B99" s="75"/>
      <c r="C99" s="77"/>
      <c r="D99" s="78"/>
      <c r="E99" s="79"/>
      <c r="F99" s="76"/>
      <c r="G99" s="53" t="e" cm="1">
        <f t="array" ref="G99">_xlfn.IFS(Services1106974798489949910410911411912613113614114615115616154992429343944[[#This Row],[Unit]]="Program-wide",((_xlfn.IFS(Services1106974798489949910410911411912613113614114615115616154992429343944[[#This Row],[Frequency]]="Per Year",Services1106974798489949910410911411912613113614114615115616154992429343944[[#This Row],[Cost]]/12,Services1106974798489949910410911411912613113614114615115616154992429343944[[#This Row],[Frequency]]="Per month",Services1106974798489949910410911411912613113614114615115616154992429343944[[#This Row],[Cost]],Services1106974798489949910410911411912613113614114615115616154992429343944[[#This Row],[Frequency]]="Per day",Services1106974798489949910410911411912613113614114615115616154992429343944[[#This Row],[Cost]]*30,Services1106974798489949910410911411912613113614114615115616154992429343944[[#This Row],[Frequency]]="One-time",Services1106974798489949910410911411912613113614114615115616154992429343944[[#This Row],[Cost]]/SUM($C$18,$C$19)))/$C$17),Services1106974798489949910410911411912613113614114615115616154992429343944[[#This Row],[Unit]]="Per unit/space/household",(_xlfn.IFS(Services1106974798489949910410911411912613113614114615115616154992429343944[[#This Row],[Frequency]]="Per Year",Services1106974798489949910410911411912613113614114615115616154992429343944[[#This Row],[Cost]]/12,Services1106974798489949910410911411912613113614114615115616154992429343944[[#This Row],[Frequency]]="Per month",Services1106974798489949910410911411912613113614114615115616154992429343944[[#This Row],[Cost]],Services1106974798489949910410911411912613113614114615115616154992429343944[[#This Row],[Frequency]]="Per day",Services1106974798489949910410911411912613113614114615115616154992429343944[[#This Row],[Cost]]*30,Services1106974798489949910410911411912613113614114615115616154992429343944[[#This Row],[Frequency]]="One-time",Services1106974798489949910410911411912613113614114615115616154992429343944[[#This Row],[Cost]]/SUM($C$18,$C$19))))</f>
        <v>#N/A</v>
      </c>
      <c r="H99" s="46" t="e">
        <f>Services1106974798489949910410911411912613113614114615115616154992429343944[[#This Row],[Monthly Cost Per Unit]]*12</f>
        <v>#N/A</v>
      </c>
    </row>
    <row r="100" spans="1:8" x14ac:dyDescent="0.25">
      <c r="A100" s="75"/>
      <c r="B100" s="75"/>
      <c r="C100" s="77"/>
      <c r="D100" s="78"/>
      <c r="E100" s="79"/>
      <c r="F100" s="76"/>
      <c r="G100" s="53" t="e" cm="1">
        <f t="array" ref="G100">_xlfn.IFS(Services1106974798489949910410911411912613113614114615115616154992429343944[[#This Row],[Unit]]="Program-wide",((_xlfn.IFS(Services1106974798489949910410911411912613113614114615115616154992429343944[[#This Row],[Frequency]]="Per Year",Services1106974798489949910410911411912613113614114615115616154992429343944[[#This Row],[Cost]]/12,Services1106974798489949910410911411912613113614114615115616154992429343944[[#This Row],[Frequency]]="Per month",Services1106974798489949910410911411912613113614114615115616154992429343944[[#This Row],[Cost]],Services1106974798489949910410911411912613113614114615115616154992429343944[[#This Row],[Frequency]]="Per day",Services1106974798489949910410911411912613113614114615115616154992429343944[[#This Row],[Cost]]*30,Services1106974798489949910410911411912613113614114615115616154992429343944[[#This Row],[Frequency]]="One-time",Services1106974798489949910410911411912613113614114615115616154992429343944[[#This Row],[Cost]]/SUM($C$18,$C$19)))/$C$17),Services1106974798489949910410911411912613113614114615115616154992429343944[[#This Row],[Unit]]="Per unit/space/household",(_xlfn.IFS(Services1106974798489949910410911411912613113614114615115616154992429343944[[#This Row],[Frequency]]="Per Year",Services1106974798489949910410911411912613113614114615115616154992429343944[[#This Row],[Cost]]/12,Services1106974798489949910410911411912613113614114615115616154992429343944[[#This Row],[Frequency]]="Per month",Services1106974798489949910410911411912613113614114615115616154992429343944[[#This Row],[Cost]],Services1106974798489949910410911411912613113614114615115616154992429343944[[#This Row],[Frequency]]="Per day",Services1106974798489949910410911411912613113614114615115616154992429343944[[#This Row],[Cost]]*30,Services1106974798489949910410911411912613113614114615115616154992429343944[[#This Row],[Frequency]]="One-time",Services1106974798489949910410911411912613113614114615115616154992429343944[[#This Row],[Cost]]/SUM($C$18,$C$19))))</f>
        <v>#N/A</v>
      </c>
      <c r="H100" s="46" t="e">
        <f>Services1106974798489949910410911411912613113614114615115616154992429343944[[#This Row],[Monthly Cost Per Unit]]*12</f>
        <v>#N/A</v>
      </c>
    </row>
    <row r="101" spans="1:8" x14ac:dyDescent="0.25">
      <c r="A101" s="75"/>
      <c r="B101" s="75"/>
      <c r="C101" s="77"/>
      <c r="D101" s="78"/>
      <c r="E101" s="79"/>
      <c r="F101" s="76"/>
      <c r="G101" s="53" t="e" cm="1">
        <f t="array" ref="G101">_xlfn.IFS(Services1106974798489949910410911411912613113614114615115616154992429343944[[#This Row],[Unit]]="Program-wide",((_xlfn.IFS(Services1106974798489949910410911411912613113614114615115616154992429343944[[#This Row],[Frequency]]="Per Year",Services1106974798489949910410911411912613113614114615115616154992429343944[[#This Row],[Cost]]/12,Services1106974798489949910410911411912613113614114615115616154992429343944[[#This Row],[Frequency]]="Per month",Services1106974798489949910410911411912613113614114615115616154992429343944[[#This Row],[Cost]],Services1106974798489949910410911411912613113614114615115616154992429343944[[#This Row],[Frequency]]="Per day",Services1106974798489949910410911411912613113614114615115616154992429343944[[#This Row],[Cost]]*30,Services1106974798489949910410911411912613113614114615115616154992429343944[[#This Row],[Frequency]]="One-time",Services1106974798489949910410911411912613113614114615115616154992429343944[[#This Row],[Cost]]/SUM($C$18,$C$19)))/$C$17),Services1106974798489949910410911411912613113614114615115616154992429343944[[#This Row],[Unit]]="Per unit/space/household",(_xlfn.IFS(Services1106974798489949910410911411912613113614114615115616154992429343944[[#This Row],[Frequency]]="Per Year",Services1106974798489949910410911411912613113614114615115616154992429343944[[#This Row],[Cost]]/12,Services1106974798489949910410911411912613113614114615115616154992429343944[[#This Row],[Frequency]]="Per month",Services1106974798489949910410911411912613113614114615115616154992429343944[[#This Row],[Cost]],Services1106974798489949910410911411912613113614114615115616154992429343944[[#This Row],[Frequency]]="Per day",Services1106974798489949910410911411912613113614114615115616154992429343944[[#This Row],[Cost]]*30,Services1106974798489949910410911411912613113614114615115616154992429343944[[#This Row],[Frequency]]="One-time",Services1106974798489949910410911411912613113614114615115616154992429343944[[#This Row],[Cost]]/SUM($C$18,$C$19))))</f>
        <v>#N/A</v>
      </c>
      <c r="H101" s="46" t="e">
        <f>Services1106974798489949910410911411912613113614114615115616154992429343944[[#This Row],[Monthly Cost Per Unit]]*12</f>
        <v>#N/A</v>
      </c>
    </row>
    <row r="102" spans="1:8" x14ac:dyDescent="0.25">
      <c r="A102" s="75"/>
      <c r="B102" s="75"/>
      <c r="C102" s="77"/>
      <c r="D102" s="78"/>
      <c r="E102" s="79"/>
      <c r="F102" s="76"/>
      <c r="G102" s="53" t="e" cm="1">
        <f t="array" ref="G102">_xlfn.IFS(Services1106974798489949910410911411912613113614114615115616154992429343944[[#This Row],[Unit]]="Program-wide",((_xlfn.IFS(Services1106974798489949910410911411912613113614114615115616154992429343944[[#This Row],[Frequency]]="Per Year",Services1106974798489949910410911411912613113614114615115616154992429343944[[#This Row],[Cost]]/12,Services1106974798489949910410911411912613113614114615115616154992429343944[[#This Row],[Frequency]]="Per month",Services1106974798489949910410911411912613113614114615115616154992429343944[[#This Row],[Cost]],Services1106974798489949910410911411912613113614114615115616154992429343944[[#This Row],[Frequency]]="Per day",Services1106974798489949910410911411912613113614114615115616154992429343944[[#This Row],[Cost]]*30,Services1106974798489949910410911411912613113614114615115616154992429343944[[#This Row],[Frequency]]="One-time",Services1106974798489949910410911411912613113614114615115616154992429343944[[#This Row],[Cost]]/SUM($C$18,$C$19)))/$C$17),Services1106974798489949910410911411912613113614114615115616154992429343944[[#This Row],[Unit]]="Per unit/space/household",(_xlfn.IFS(Services1106974798489949910410911411912613113614114615115616154992429343944[[#This Row],[Frequency]]="Per Year",Services1106974798489949910410911411912613113614114615115616154992429343944[[#This Row],[Cost]]/12,Services1106974798489949910410911411912613113614114615115616154992429343944[[#This Row],[Frequency]]="Per month",Services1106974798489949910410911411912613113614114615115616154992429343944[[#This Row],[Cost]],Services1106974798489949910410911411912613113614114615115616154992429343944[[#This Row],[Frequency]]="Per day",Services1106974798489949910410911411912613113614114615115616154992429343944[[#This Row],[Cost]]*30,Services1106974798489949910410911411912613113614114615115616154992429343944[[#This Row],[Frequency]]="One-time",Services1106974798489949910410911411912613113614114615115616154992429343944[[#This Row],[Cost]]/SUM($C$18,$C$19))))</f>
        <v>#N/A</v>
      </c>
      <c r="H102" s="46" t="e">
        <f>Services1106974798489949910410911411912613113614114615115616154992429343944[[#This Row],[Monthly Cost Per Unit]]*12</f>
        <v>#N/A</v>
      </c>
    </row>
    <row r="103" spans="1:8" x14ac:dyDescent="0.25">
      <c r="A103" s="75"/>
      <c r="B103" s="75"/>
      <c r="C103" s="77"/>
      <c r="D103" s="78"/>
      <c r="E103" s="79"/>
      <c r="F103" s="76"/>
      <c r="G103" s="53" t="e" cm="1">
        <f t="array" ref="G103">_xlfn.IFS(Services1106974798489949910410911411912613113614114615115616154992429343944[[#This Row],[Unit]]="Program-wide",((_xlfn.IFS(Services1106974798489949910410911411912613113614114615115616154992429343944[[#This Row],[Frequency]]="Per Year",Services1106974798489949910410911411912613113614114615115616154992429343944[[#This Row],[Cost]]/12,Services1106974798489949910410911411912613113614114615115616154992429343944[[#This Row],[Frequency]]="Per month",Services1106974798489949910410911411912613113614114615115616154992429343944[[#This Row],[Cost]],Services1106974798489949910410911411912613113614114615115616154992429343944[[#This Row],[Frequency]]="Per day",Services1106974798489949910410911411912613113614114615115616154992429343944[[#This Row],[Cost]]*30,Services1106974798489949910410911411912613113614114615115616154992429343944[[#This Row],[Frequency]]="One-time",Services1106974798489949910410911411912613113614114615115616154992429343944[[#This Row],[Cost]]/SUM($C$18,$C$19)))/$C$17),Services1106974798489949910410911411912613113614114615115616154992429343944[[#This Row],[Unit]]="Per unit/space/household",(_xlfn.IFS(Services1106974798489949910410911411912613113614114615115616154992429343944[[#This Row],[Frequency]]="Per Year",Services1106974798489949910410911411912613113614114615115616154992429343944[[#This Row],[Cost]]/12,Services1106974798489949910410911411912613113614114615115616154992429343944[[#This Row],[Frequency]]="Per month",Services1106974798489949910410911411912613113614114615115616154992429343944[[#This Row],[Cost]],Services1106974798489949910410911411912613113614114615115616154992429343944[[#This Row],[Frequency]]="Per day",Services1106974798489949910410911411912613113614114615115616154992429343944[[#This Row],[Cost]]*30,Services1106974798489949910410911411912613113614114615115616154992429343944[[#This Row],[Frequency]]="One-time",Services1106974798489949910410911411912613113614114615115616154992429343944[[#This Row],[Cost]]/SUM($C$18,$C$19))))</f>
        <v>#N/A</v>
      </c>
      <c r="H103" s="46" t="e">
        <f>Services1106974798489949910410911411912613113614114615115616154992429343944[[#This Row],[Monthly Cost Per Unit]]*12</f>
        <v>#N/A</v>
      </c>
    </row>
    <row r="104" spans="1:8" x14ac:dyDescent="0.25">
      <c r="A104" s="75"/>
      <c r="B104" s="75"/>
      <c r="C104" s="77"/>
      <c r="D104" s="78"/>
      <c r="E104" s="79"/>
      <c r="F104" s="76"/>
      <c r="G104" s="53" t="e" cm="1">
        <f t="array" ref="G104">_xlfn.IFS(Services1106974798489949910410911411912613113614114615115616154992429343944[[#This Row],[Unit]]="Program-wide",((_xlfn.IFS(Services1106974798489949910410911411912613113614114615115616154992429343944[[#This Row],[Frequency]]="Per Year",Services1106974798489949910410911411912613113614114615115616154992429343944[[#This Row],[Cost]]/12,Services1106974798489949910410911411912613113614114615115616154992429343944[[#This Row],[Frequency]]="Per month",Services1106974798489949910410911411912613113614114615115616154992429343944[[#This Row],[Cost]],Services1106974798489949910410911411912613113614114615115616154992429343944[[#This Row],[Frequency]]="Per day",Services1106974798489949910410911411912613113614114615115616154992429343944[[#This Row],[Cost]]*30,Services1106974798489949910410911411912613113614114615115616154992429343944[[#This Row],[Frequency]]="One-time",Services1106974798489949910410911411912613113614114615115616154992429343944[[#This Row],[Cost]]/SUM($C$18,$C$19)))/$C$17),Services1106974798489949910410911411912613113614114615115616154992429343944[[#This Row],[Unit]]="Per unit/space/household",(_xlfn.IFS(Services1106974798489949910410911411912613113614114615115616154992429343944[[#This Row],[Frequency]]="Per Year",Services1106974798489949910410911411912613113614114615115616154992429343944[[#This Row],[Cost]]/12,Services1106974798489949910410911411912613113614114615115616154992429343944[[#This Row],[Frequency]]="Per month",Services1106974798489949910410911411912613113614114615115616154992429343944[[#This Row],[Cost]],Services1106974798489949910410911411912613113614114615115616154992429343944[[#This Row],[Frequency]]="Per day",Services1106974798489949910410911411912613113614114615115616154992429343944[[#This Row],[Cost]]*30,Services1106974798489949910410911411912613113614114615115616154992429343944[[#This Row],[Frequency]]="One-time",Services1106974798489949910410911411912613113614114615115616154992429343944[[#This Row],[Cost]]/SUM($C$18,$C$19))))</f>
        <v>#N/A</v>
      </c>
      <c r="H104" s="46" t="e">
        <f>Services1106974798489949910410911411912613113614114615115616154992429343944[[#This Row],[Monthly Cost Per Unit]]*12</f>
        <v>#N/A</v>
      </c>
    </row>
    <row r="105" spans="1:8" x14ac:dyDescent="0.25">
      <c r="A105" s="75"/>
      <c r="B105" s="75"/>
      <c r="C105" s="77"/>
      <c r="D105" s="78"/>
      <c r="E105" s="79"/>
      <c r="F105" s="76"/>
      <c r="G105" s="53" t="e" cm="1">
        <f t="array" ref="G105">_xlfn.IFS(Services1106974798489949910410911411912613113614114615115616154992429343944[[#This Row],[Unit]]="Program-wide",((_xlfn.IFS(Services1106974798489949910410911411912613113614114615115616154992429343944[[#This Row],[Frequency]]="Per Year",Services1106974798489949910410911411912613113614114615115616154992429343944[[#This Row],[Cost]]/12,Services1106974798489949910410911411912613113614114615115616154992429343944[[#This Row],[Frequency]]="Per month",Services1106974798489949910410911411912613113614114615115616154992429343944[[#This Row],[Cost]],Services1106974798489949910410911411912613113614114615115616154992429343944[[#This Row],[Frequency]]="Per day",Services1106974798489949910410911411912613113614114615115616154992429343944[[#This Row],[Cost]]*30,Services1106974798489949910410911411912613113614114615115616154992429343944[[#This Row],[Frequency]]="One-time",Services1106974798489949910410911411912613113614114615115616154992429343944[[#This Row],[Cost]]/SUM($C$18,$C$19)))/$C$17),Services1106974798489949910410911411912613113614114615115616154992429343944[[#This Row],[Unit]]="Per unit/space/household",(_xlfn.IFS(Services1106974798489949910410911411912613113614114615115616154992429343944[[#This Row],[Frequency]]="Per Year",Services1106974798489949910410911411912613113614114615115616154992429343944[[#This Row],[Cost]]/12,Services1106974798489949910410911411912613113614114615115616154992429343944[[#This Row],[Frequency]]="Per month",Services1106974798489949910410911411912613113614114615115616154992429343944[[#This Row],[Cost]],Services1106974798489949910410911411912613113614114615115616154992429343944[[#This Row],[Frequency]]="Per day",Services1106974798489949910410911411912613113614114615115616154992429343944[[#This Row],[Cost]]*30,Services1106974798489949910410911411912613113614114615115616154992429343944[[#This Row],[Frequency]]="One-time",Services1106974798489949910410911411912613113614114615115616154992429343944[[#This Row],[Cost]]/SUM($C$18,$C$19))))</f>
        <v>#N/A</v>
      </c>
      <c r="H105" s="46" t="e">
        <f>Services1106974798489949910410911411912613113614114615115616154992429343944[[#This Row],[Monthly Cost Per Unit]]*12</f>
        <v>#N/A</v>
      </c>
    </row>
    <row r="106" spans="1:8" x14ac:dyDescent="0.25">
      <c r="A106" s="75"/>
      <c r="B106" s="75"/>
      <c r="C106" s="77"/>
      <c r="D106" s="78"/>
      <c r="E106" s="79"/>
      <c r="F106" s="76"/>
      <c r="G106" s="53" t="e" cm="1">
        <f t="array" ref="G106">_xlfn.IFS(Services1106974798489949910410911411912613113614114615115616154992429343944[[#This Row],[Unit]]="Program-wide",((_xlfn.IFS(Services1106974798489949910410911411912613113614114615115616154992429343944[[#This Row],[Frequency]]="Per Year",Services1106974798489949910410911411912613113614114615115616154992429343944[[#This Row],[Cost]]/12,Services1106974798489949910410911411912613113614114615115616154992429343944[[#This Row],[Frequency]]="Per month",Services1106974798489949910410911411912613113614114615115616154992429343944[[#This Row],[Cost]],Services1106974798489949910410911411912613113614114615115616154992429343944[[#This Row],[Frequency]]="Per day",Services1106974798489949910410911411912613113614114615115616154992429343944[[#This Row],[Cost]]*30,Services1106974798489949910410911411912613113614114615115616154992429343944[[#This Row],[Frequency]]="One-time",Services1106974798489949910410911411912613113614114615115616154992429343944[[#This Row],[Cost]]/SUM($C$18,$C$19)))/$C$17),Services1106974798489949910410911411912613113614114615115616154992429343944[[#This Row],[Unit]]="Per unit/space/household",(_xlfn.IFS(Services1106974798489949910410911411912613113614114615115616154992429343944[[#This Row],[Frequency]]="Per Year",Services1106974798489949910410911411912613113614114615115616154992429343944[[#This Row],[Cost]]/12,Services1106974798489949910410911411912613113614114615115616154992429343944[[#This Row],[Frequency]]="Per month",Services1106974798489949910410911411912613113614114615115616154992429343944[[#This Row],[Cost]],Services1106974798489949910410911411912613113614114615115616154992429343944[[#This Row],[Frequency]]="Per day",Services1106974798489949910410911411912613113614114615115616154992429343944[[#This Row],[Cost]]*30,Services1106974798489949910410911411912613113614114615115616154992429343944[[#This Row],[Frequency]]="One-time",Services1106974798489949910410911411912613113614114615115616154992429343944[[#This Row],[Cost]]/SUM($C$18,$C$19))))</f>
        <v>#N/A</v>
      </c>
      <c r="H106" s="46" t="e">
        <f>Services1106974798489949910410911411912613113614114615115616154992429343944[[#This Row],[Monthly Cost Per Unit]]*12</f>
        <v>#N/A</v>
      </c>
    </row>
    <row r="107" spans="1:8" x14ac:dyDescent="0.25">
      <c r="A107" s="80"/>
      <c r="B107" s="80"/>
      <c r="C107" s="82"/>
      <c r="D107" s="83"/>
      <c r="E107" s="84"/>
      <c r="F107" s="81"/>
      <c r="G107" s="55" t="e" cm="1">
        <f t="array" ref="G107">_xlfn.IFS(Services1106974798489949910410911411912613113614114615115616154992429343944[[#This Row],[Unit]]="Program-wide",((_xlfn.IFS(Services1106974798489949910410911411912613113614114615115616154992429343944[[#This Row],[Frequency]]="Per Year",Services1106974798489949910410911411912613113614114615115616154992429343944[[#This Row],[Cost]]/12,Services1106974798489949910410911411912613113614114615115616154992429343944[[#This Row],[Frequency]]="Per month",Services1106974798489949910410911411912613113614114615115616154992429343944[[#This Row],[Cost]],Services1106974798489949910410911411912613113614114615115616154992429343944[[#This Row],[Frequency]]="Per day",Services1106974798489949910410911411912613113614114615115616154992429343944[[#This Row],[Cost]]*30,Services1106974798489949910410911411912613113614114615115616154992429343944[[#This Row],[Frequency]]="One-time",Services1106974798489949910410911411912613113614114615115616154992429343944[[#This Row],[Cost]]/SUM($C$18,$C$19)))/$C$17),Services1106974798489949910410911411912613113614114615115616154992429343944[[#This Row],[Unit]]="Per unit/space/household",(_xlfn.IFS(Services1106974798489949910410911411912613113614114615115616154992429343944[[#This Row],[Frequency]]="Per Year",Services1106974798489949910410911411912613113614114615115616154992429343944[[#This Row],[Cost]]/12,Services1106974798489949910410911411912613113614114615115616154992429343944[[#This Row],[Frequency]]="Per month",Services1106974798489949910410911411912613113614114615115616154992429343944[[#This Row],[Cost]],Services1106974798489949910410911411912613113614114615115616154992429343944[[#This Row],[Frequency]]="Per day",Services1106974798489949910410911411912613113614114615115616154992429343944[[#This Row],[Cost]]*30,Services1106974798489949910410911411912613113614114615115616154992429343944[[#This Row],[Frequency]]="One-time",Services1106974798489949910410911411912613113614114615115616154992429343944[[#This Row],[Cost]]/SUM($C$18,$C$19))))</f>
        <v>#N/A</v>
      </c>
      <c r="H107" s="46" t="e">
        <f>Services1106974798489949910410911411912613113614114615115616154992429343944[[#This Row],[Monthly Cost Per Unit]]*12</f>
        <v>#N/A</v>
      </c>
    </row>
    <row r="108" spans="1:8" x14ac:dyDescent="0.25">
      <c r="A108" s="107" t="s">
        <v>20</v>
      </c>
      <c r="B108" s="107"/>
      <c r="C108" s="108" t="s">
        <v>68</v>
      </c>
      <c r="D108" s="109"/>
      <c r="E108" s="108"/>
      <c r="F108" s="108"/>
      <c r="G108" s="118"/>
      <c r="H108" s="111">
        <f>(SUMIF(Services1106974798489949910410911411912613113614114615115616154992429343944[Duration],"While homeless only",Services1106974798489949910410911411912613113614114615115616154992429343944[Monthly Cost Per Unit]))*12</f>
        <v>0</v>
      </c>
    </row>
    <row r="109" spans="1:8" x14ac:dyDescent="0.25">
      <c r="A109" s="112"/>
      <c r="B109" s="112"/>
      <c r="C109" s="108" t="s">
        <v>63</v>
      </c>
      <c r="D109" s="109"/>
      <c r="E109" s="108"/>
      <c r="F109" s="108"/>
      <c r="G109" s="111"/>
      <c r="H109" s="111">
        <f>(SUMIF(Services1106974798489949910410911411912613113614114615115616154992429343944[Duration],"While housed only",Services1106974798489949910410911411912613113614114615115616154992429343944[Monthly Cost Per Unit]))*12</f>
        <v>0</v>
      </c>
    </row>
    <row r="110" spans="1:8" x14ac:dyDescent="0.25">
      <c r="A110" s="112"/>
      <c r="B110" s="112"/>
      <c r="C110" s="108" t="s">
        <v>58</v>
      </c>
      <c r="D110" s="109"/>
      <c r="E110" s="108"/>
      <c r="F110" s="108"/>
      <c r="G110" s="111"/>
      <c r="H110" s="111">
        <f>(SUMIF(Services1106974798489949910410911411912613113614114615115616154992429343944[Duration],"Homeless &amp; housed",Services1106974798489949910410911411912613113614114615115616154992429343944[Monthly Cost Per Unit]))*12</f>
        <v>0</v>
      </c>
    </row>
    <row r="111" spans="1:8" ht="15.75" thickBot="1" x14ac:dyDescent="0.3">
      <c r="A111" s="113"/>
      <c r="B111" s="113"/>
      <c r="C111" s="114" t="s">
        <v>207</v>
      </c>
      <c r="D111" s="115"/>
      <c r="E111" s="114"/>
      <c r="F111" s="114"/>
      <c r="G111" s="117"/>
      <c r="H111" s="117">
        <f>(SUMIF(Services1106974798489949910410911411912613113614114615115616154992429343944[Duration],"N/A",Services1106974798489949910410911411912613113614114615115616154992429343944[Monthly Cost Per Unit]))*12</f>
        <v>0</v>
      </c>
    </row>
    <row r="112" spans="1:8" ht="16.5" thickTop="1" thickBot="1" x14ac:dyDescent="0.3">
      <c r="A112" s="113"/>
      <c r="B112" s="113"/>
      <c r="C112" s="114" t="s">
        <v>42</v>
      </c>
      <c r="D112" s="115"/>
      <c r="E112" s="114"/>
      <c r="F112" s="114"/>
      <c r="G112" s="117"/>
      <c r="H112" s="117">
        <f>SUM(H108:H111)</f>
        <v>0</v>
      </c>
    </row>
    <row r="113" spans="1:9" ht="15.75" thickTop="1" x14ac:dyDescent="0.25">
      <c r="A113"/>
      <c r="F113"/>
      <c r="G113"/>
      <c r="H113" s="128"/>
    </row>
    <row r="114" spans="1:9" x14ac:dyDescent="0.25">
      <c r="A114" s="274" t="s">
        <v>90</v>
      </c>
      <c r="B114" s="274"/>
      <c r="C114" s="274"/>
      <c r="D114" s="274"/>
      <c r="E114" s="274"/>
      <c r="F114" s="274"/>
      <c r="G114" s="274"/>
      <c r="H114" s="274"/>
    </row>
    <row r="115" spans="1:9" ht="33" customHeight="1" outlineLevel="1" x14ac:dyDescent="0.25">
      <c r="A115" s="294" t="s">
        <v>91</v>
      </c>
      <c r="B115" s="294"/>
      <c r="C115" s="294"/>
      <c r="D115" s="294"/>
      <c r="E115" s="294"/>
      <c r="F115" s="294"/>
      <c r="G115" s="294"/>
      <c r="H115" s="294"/>
    </row>
    <row r="116" spans="1:9" s="3" customFormat="1" ht="28.35" customHeight="1" x14ac:dyDescent="0.25">
      <c r="A116" s="131" t="s">
        <v>51</v>
      </c>
      <c r="B116" s="131" t="s">
        <v>52</v>
      </c>
      <c r="C116" s="131" t="s">
        <v>53</v>
      </c>
      <c r="D116" s="131" t="s">
        <v>54</v>
      </c>
      <c r="E116" s="131" t="s">
        <v>55</v>
      </c>
      <c r="F116" s="131" t="s">
        <v>56</v>
      </c>
      <c r="G116" s="131" t="s">
        <v>57</v>
      </c>
      <c r="H116" s="132" t="s">
        <v>20</v>
      </c>
    </row>
    <row r="117" spans="1:9" x14ac:dyDescent="0.25">
      <c r="A117" s="75"/>
      <c r="B117" s="75"/>
      <c r="C117" s="77"/>
      <c r="D117" s="78"/>
      <c r="E117" s="79"/>
      <c r="F117" s="79"/>
      <c r="G117" s="53" t="e" cm="1">
        <f t="array" ref="G117">_xlfn.IFS(Other111707580859095100105110115120127132137142147152157162551002530354045[[#This Row],[Unit]]="Program-wide",((_xlfn.IFS(Other111707580859095100105110115120127132137142147152157162551002530354045[[#This Row],[Frequency]]="Per Year",Other111707580859095100105110115120127132137142147152157162551002530354045[[#This Row],[Cost]]/12,Other111707580859095100105110115120127132137142147152157162551002530354045[[#This Row],[Frequency]]="Per month",Other111707580859095100105110115120127132137142147152157162551002530354045[[#This Row],[Cost]],Other111707580859095100105110115120127132137142147152157162551002530354045[[#This Row],[Frequency]]="Per day",Other111707580859095100105110115120127132137142147152157162551002530354045[[#This Row],[Cost]]*30,Other111707580859095100105110115120127132137142147152157162551002530354045[[#This Row],[Frequency]]="One-time",Other111707580859095100105110115120127132137142147152157162551002530354045[[#This Row],[Cost]]/SUM($C$18,$C$19)))/$C$17),Other111707580859095100105110115120127132137142147152157162551002530354045[[#This Row],[Unit]]="Per unit/space/household",(_xlfn.IFS(Other111707580859095100105110115120127132137142147152157162551002530354045[[#This Row],[Frequency]]="Per Year",Other111707580859095100105110115120127132137142147152157162551002530354045[[#This Row],[Cost]]/12,Other111707580859095100105110115120127132137142147152157162551002530354045[[#This Row],[Frequency]]="Per month",Other111707580859095100105110115120127132137142147152157162551002530354045[[#This Row],[Cost]],Other111707580859095100105110115120127132137142147152157162551002530354045[[#This Row],[Frequency]]="Per day",Other111707580859095100105110115120127132137142147152157162551002530354045[[#This Row],[Cost]]*30,Other111707580859095100105110115120127132137142147152157162551002530354045[[#This Row],[Frequency]]="One-time",Other111707580859095100105110115120127132137142147152157162551002530354045[[#This Row],[Cost]]/SUM($C$18,$C$19))))</f>
        <v>#N/A</v>
      </c>
      <c r="H117" s="46" t="e">
        <f>Other111707580859095100105110115120127132137142147152157162551002530354045[[#This Row],[Monthly Cost Per Unit]]*12</f>
        <v>#N/A</v>
      </c>
    </row>
    <row r="118" spans="1:9" x14ac:dyDescent="0.25">
      <c r="A118" s="75"/>
      <c r="B118" s="75"/>
      <c r="C118" s="77"/>
      <c r="D118" s="78"/>
      <c r="E118" s="79"/>
      <c r="F118" s="79"/>
      <c r="G118" s="53" t="e" cm="1">
        <f t="array" ref="G118">_xlfn.IFS(Other111707580859095100105110115120127132137142147152157162551002530354045[[#This Row],[Unit]]="Program-wide",((_xlfn.IFS(Other111707580859095100105110115120127132137142147152157162551002530354045[[#This Row],[Frequency]]="Per Year",Other111707580859095100105110115120127132137142147152157162551002530354045[[#This Row],[Cost]]/12,Other111707580859095100105110115120127132137142147152157162551002530354045[[#This Row],[Frequency]]="Per month",Other111707580859095100105110115120127132137142147152157162551002530354045[[#This Row],[Cost]],Other111707580859095100105110115120127132137142147152157162551002530354045[[#This Row],[Frequency]]="Per day",Other111707580859095100105110115120127132137142147152157162551002530354045[[#This Row],[Cost]]*30,Other111707580859095100105110115120127132137142147152157162551002530354045[[#This Row],[Frequency]]="One-time",Other111707580859095100105110115120127132137142147152157162551002530354045[[#This Row],[Cost]]/SUM($C$18,$C$19)))/$C$17),Other111707580859095100105110115120127132137142147152157162551002530354045[[#This Row],[Unit]]="Per unit/space/household",(_xlfn.IFS(Other111707580859095100105110115120127132137142147152157162551002530354045[[#This Row],[Frequency]]="Per Year",Other111707580859095100105110115120127132137142147152157162551002530354045[[#This Row],[Cost]]/12,Other111707580859095100105110115120127132137142147152157162551002530354045[[#This Row],[Frequency]]="Per month",Other111707580859095100105110115120127132137142147152157162551002530354045[[#This Row],[Cost]],Other111707580859095100105110115120127132137142147152157162551002530354045[[#This Row],[Frequency]]="Per day",Other111707580859095100105110115120127132137142147152157162551002530354045[[#This Row],[Cost]]*30,Other111707580859095100105110115120127132137142147152157162551002530354045[[#This Row],[Frequency]]="One-time",Other111707580859095100105110115120127132137142147152157162551002530354045[[#This Row],[Cost]]/SUM($C$18,$C$19))))</f>
        <v>#N/A</v>
      </c>
      <c r="H118" s="46" t="e">
        <f>Other111707580859095100105110115120127132137142147152157162551002530354045[[#This Row],[Monthly Cost Per Unit]]*12</f>
        <v>#N/A</v>
      </c>
    </row>
    <row r="119" spans="1:9" x14ac:dyDescent="0.25">
      <c r="A119" s="75"/>
      <c r="B119" s="75"/>
      <c r="C119" s="77"/>
      <c r="D119" s="78"/>
      <c r="E119" s="79"/>
      <c r="F119" s="79"/>
      <c r="G119" s="53" t="e" cm="1">
        <f t="array" ref="G119">_xlfn.IFS(Other111707580859095100105110115120127132137142147152157162551002530354045[[#This Row],[Unit]]="Program-wide",((_xlfn.IFS(Other111707580859095100105110115120127132137142147152157162551002530354045[[#This Row],[Frequency]]="Per Year",Other111707580859095100105110115120127132137142147152157162551002530354045[[#This Row],[Cost]]/12,Other111707580859095100105110115120127132137142147152157162551002530354045[[#This Row],[Frequency]]="Per month",Other111707580859095100105110115120127132137142147152157162551002530354045[[#This Row],[Cost]],Other111707580859095100105110115120127132137142147152157162551002530354045[[#This Row],[Frequency]]="Per day",Other111707580859095100105110115120127132137142147152157162551002530354045[[#This Row],[Cost]]*30,Other111707580859095100105110115120127132137142147152157162551002530354045[[#This Row],[Frequency]]="One-time",Other111707580859095100105110115120127132137142147152157162551002530354045[[#This Row],[Cost]]/SUM($C$18,$C$19)))/$C$17),Other111707580859095100105110115120127132137142147152157162551002530354045[[#This Row],[Unit]]="Per unit/space/household",(_xlfn.IFS(Other111707580859095100105110115120127132137142147152157162551002530354045[[#This Row],[Frequency]]="Per Year",Other111707580859095100105110115120127132137142147152157162551002530354045[[#This Row],[Cost]]/12,Other111707580859095100105110115120127132137142147152157162551002530354045[[#This Row],[Frequency]]="Per month",Other111707580859095100105110115120127132137142147152157162551002530354045[[#This Row],[Cost]],Other111707580859095100105110115120127132137142147152157162551002530354045[[#This Row],[Frequency]]="Per day",Other111707580859095100105110115120127132137142147152157162551002530354045[[#This Row],[Cost]]*30,Other111707580859095100105110115120127132137142147152157162551002530354045[[#This Row],[Frequency]]="One-time",Other111707580859095100105110115120127132137142147152157162551002530354045[[#This Row],[Cost]]/SUM($C$18,$C$19))))</f>
        <v>#N/A</v>
      </c>
      <c r="H119" s="46" t="e">
        <f>Other111707580859095100105110115120127132137142147152157162551002530354045[[#This Row],[Monthly Cost Per Unit]]*12</f>
        <v>#N/A</v>
      </c>
    </row>
    <row r="120" spans="1:9" x14ac:dyDescent="0.25">
      <c r="A120" s="75"/>
      <c r="B120" s="75"/>
      <c r="C120" s="77"/>
      <c r="D120" s="78"/>
      <c r="E120" s="79"/>
      <c r="F120" s="79"/>
      <c r="G120" s="53" t="e" cm="1">
        <f t="array" ref="G120">_xlfn.IFS(Other111707580859095100105110115120127132137142147152157162551002530354045[[#This Row],[Unit]]="Program-wide",((_xlfn.IFS(Other111707580859095100105110115120127132137142147152157162551002530354045[[#This Row],[Frequency]]="Per Year",Other111707580859095100105110115120127132137142147152157162551002530354045[[#This Row],[Cost]]/12,Other111707580859095100105110115120127132137142147152157162551002530354045[[#This Row],[Frequency]]="Per month",Other111707580859095100105110115120127132137142147152157162551002530354045[[#This Row],[Cost]],Other111707580859095100105110115120127132137142147152157162551002530354045[[#This Row],[Frequency]]="Per day",Other111707580859095100105110115120127132137142147152157162551002530354045[[#This Row],[Cost]]*30,Other111707580859095100105110115120127132137142147152157162551002530354045[[#This Row],[Frequency]]="One-time",Other111707580859095100105110115120127132137142147152157162551002530354045[[#This Row],[Cost]]/SUM($C$18,$C$19)))/$C$17),Other111707580859095100105110115120127132137142147152157162551002530354045[[#This Row],[Unit]]="Per unit/space/household",(_xlfn.IFS(Other111707580859095100105110115120127132137142147152157162551002530354045[[#This Row],[Frequency]]="Per Year",Other111707580859095100105110115120127132137142147152157162551002530354045[[#This Row],[Cost]]/12,Other111707580859095100105110115120127132137142147152157162551002530354045[[#This Row],[Frequency]]="Per month",Other111707580859095100105110115120127132137142147152157162551002530354045[[#This Row],[Cost]],Other111707580859095100105110115120127132137142147152157162551002530354045[[#This Row],[Frequency]]="Per day",Other111707580859095100105110115120127132137142147152157162551002530354045[[#This Row],[Cost]]*30,Other111707580859095100105110115120127132137142147152157162551002530354045[[#This Row],[Frequency]]="One-time",Other111707580859095100105110115120127132137142147152157162551002530354045[[#This Row],[Cost]]/SUM($C$18,$C$19))))</f>
        <v>#N/A</v>
      </c>
      <c r="H120" s="46" t="e">
        <f>Other111707580859095100105110115120127132137142147152157162551002530354045[[#This Row],[Monthly Cost Per Unit]]*12</f>
        <v>#N/A</v>
      </c>
    </row>
    <row r="121" spans="1:9" s="1" customFormat="1" x14ac:dyDescent="0.25">
      <c r="A121" s="80"/>
      <c r="B121" s="80"/>
      <c r="C121" s="82"/>
      <c r="D121" s="83"/>
      <c r="E121" s="84"/>
      <c r="F121" s="84"/>
      <c r="G121" s="55" t="e" cm="1">
        <f t="array" ref="G121">_xlfn.IFS(Other111707580859095100105110115120127132137142147152157162551002530354045[[#This Row],[Unit]]="Program-wide",((_xlfn.IFS(Other111707580859095100105110115120127132137142147152157162551002530354045[[#This Row],[Frequency]]="Per Year",Other111707580859095100105110115120127132137142147152157162551002530354045[[#This Row],[Cost]]/12,Other111707580859095100105110115120127132137142147152157162551002530354045[[#This Row],[Frequency]]="Per month",Other111707580859095100105110115120127132137142147152157162551002530354045[[#This Row],[Cost]],Other111707580859095100105110115120127132137142147152157162551002530354045[[#This Row],[Frequency]]="Per day",Other111707580859095100105110115120127132137142147152157162551002530354045[[#This Row],[Cost]]*30,Other111707580859095100105110115120127132137142147152157162551002530354045[[#This Row],[Frequency]]="One-time",Other111707580859095100105110115120127132137142147152157162551002530354045[[#This Row],[Cost]]/SUM($C$18,$C$19)))/$C$17),Other111707580859095100105110115120127132137142147152157162551002530354045[[#This Row],[Unit]]="Per unit/space/household",(_xlfn.IFS(Other111707580859095100105110115120127132137142147152157162551002530354045[[#This Row],[Frequency]]="Per Year",Other111707580859095100105110115120127132137142147152157162551002530354045[[#This Row],[Cost]]/12,Other111707580859095100105110115120127132137142147152157162551002530354045[[#This Row],[Frequency]]="Per month",Other111707580859095100105110115120127132137142147152157162551002530354045[[#This Row],[Cost]],Other111707580859095100105110115120127132137142147152157162551002530354045[[#This Row],[Frequency]]="Per day",Other111707580859095100105110115120127132137142147152157162551002530354045[[#This Row],[Cost]]*30,Other111707580859095100105110115120127132137142147152157162551002530354045[[#This Row],[Frequency]]="One-time",Other111707580859095100105110115120127132137142147152157162551002530354045[[#This Row],[Cost]]/SUM($C$18,$C$19))))</f>
        <v>#N/A</v>
      </c>
      <c r="H121" s="46" t="e">
        <f>Other111707580859095100105110115120127132137142147152157162551002530354045[[#This Row],[Monthly Cost Per Unit]]*12</f>
        <v>#N/A</v>
      </c>
      <c r="I121"/>
    </row>
    <row r="122" spans="1:9" x14ac:dyDescent="0.25">
      <c r="A122" s="107" t="s">
        <v>20</v>
      </c>
      <c r="B122" s="107"/>
      <c r="C122" s="108" t="s">
        <v>68</v>
      </c>
      <c r="D122" s="109"/>
      <c r="E122" s="108"/>
      <c r="F122" s="108"/>
      <c r="G122" s="118"/>
      <c r="H122" s="111">
        <f>(SUMIF(Other111707580859095100105110115120127132137142147152157162551002530354045[Duration],"While homeless only",Other111707580859095100105110115120127132137142147152157162551002530354045[Monthly Cost Per Unit]))*12</f>
        <v>0</v>
      </c>
    </row>
    <row r="123" spans="1:9" x14ac:dyDescent="0.25">
      <c r="A123" s="112"/>
      <c r="B123" s="112"/>
      <c r="C123" s="108" t="s">
        <v>63</v>
      </c>
      <c r="D123" s="109"/>
      <c r="E123" s="108"/>
      <c r="F123" s="108"/>
      <c r="G123" s="111"/>
      <c r="H123" s="111">
        <f>(SUMIF(Other111707580859095100105110115120127132137142147152157162551002530354045[Duration],"While housed only",Other111707580859095100105110115120127132137142147152157162551002530354045[Monthly Cost Per Unit]))*12</f>
        <v>0</v>
      </c>
    </row>
    <row r="124" spans="1:9" x14ac:dyDescent="0.25">
      <c r="A124" s="112"/>
      <c r="B124" s="112"/>
      <c r="C124" s="108" t="s">
        <v>58</v>
      </c>
      <c r="D124" s="109"/>
      <c r="E124" s="108"/>
      <c r="F124" s="108"/>
      <c r="G124" s="111"/>
      <c r="H124" s="111">
        <f>(SUMIF(Other111707580859095100105110115120127132137142147152157162551002530354045[Duration],"Homeless &amp; housed",Other111707580859095100105110115120127132137142147152157162551002530354045[Monthly Cost Per Unit]))*12</f>
        <v>0</v>
      </c>
    </row>
    <row r="125" spans="1:9" ht="15.75" thickBot="1" x14ac:dyDescent="0.3">
      <c r="A125" s="113"/>
      <c r="B125" s="113"/>
      <c r="C125" s="114" t="s">
        <v>207</v>
      </c>
      <c r="D125" s="115"/>
      <c r="E125" s="114"/>
      <c r="F125" s="114"/>
      <c r="G125" s="117"/>
      <c r="H125" s="117">
        <f>(SUMIF(Other111707580859095100105110115120127132137142147152157162551002530354045[Duration],"N/A",Other111707580859095100105110115120127132137142147152157162551002530354045[Monthly Cost Per Unit]))*12</f>
        <v>0</v>
      </c>
    </row>
    <row r="126" spans="1:9" ht="16.5" thickTop="1" thickBot="1" x14ac:dyDescent="0.3">
      <c r="A126" s="113"/>
      <c r="B126" s="113"/>
      <c r="C126" s="114" t="s">
        <v>42</v>
      </c>
      <c r="D126" s="115"/>
      <c r="E126" s="114"/>
      <c r="F126" s="114"/>
      <c r="G126" s="117"/>
      <c r="H126" s="117">
        <f>SUM(H122:H125)</f>
        <v>0</v>
      </c>
    </row>
    <row r="127" spans="1:9" ht="15.75" thickTop="1" x14ac:dyDescent="0.25"/>
    <row r="128" spans="1:9" x14ac:dyDescent="0.25">
      <c r="A128" s="269" t="s">
        <v>92</v>
      </c>
      <c r="B128" s="269"/>
      <c r="C128" s="269"/>
      <c r="D128" s="269"/>
      <c r="E128" s="269"/>
      <c r="F128" s="269"/>
      <c r="G128" s="269"/>
      <c r="H128" s="269"/>
    </row>
    <row r="129" spans="1:8" x14ac:dyDescent="0.25">
      <c r="A129" s="304" t="s">
        <v>20</v>
      </c>
      <c r="B129" s="147"/>
      <c r="C129" s="108" t="s">
        <v>68</v>
      </c>
      <c r="D129" s="109"/>
      <c r="E129" s="108"/>
      <c r="F129" s="108"/>
      <c r="G129" s="118"/>
      <c r="H129" s="111">
        <f>SUM(H32,H53,H86, H108,H122)</f>
        <v>0</v>
      </c>
    </row>
    <row r="130" spans="1:8" x14ac:dyDescent="0.25">
      <c r="A130" s="305"/>
      <c r="B130" s="148"/>
      <c r="C130" s="108" t="s">
        <v>63</v>
      </c>
      <c r="D130" s="109"/>
      <c r="E130" s="108"/>
      <c r="F130" s="108"/>
      <c r="G130" s="111"/>
      <c r="H130" s="111">
        <f>SUM(H33,H54,H87, H109,H123)</f>
        <v>0</v>
      </c>
    </row>
    <row r="131" spans="1:8" x14ac:dyDescent="0.25">
      <c r="A131" s="305"/>
      <c r="B131" s="148"/>
      <c r="C131" s="108" t="s">
        <v>58</v>
      </c>
      <c r="D131" s="109"/>
      <c r="E131" s="108"/>
      <c r="F131" s="108"/>
      <c r="G131" s="111"/>
      <c r="H131" s="111">
        <f>SUM(H34,H55,H88, H110,H124)</f>
        <v>0</v>
      </c>
    </row>
    <row r="132" spans="1:8" ht="15.75" thickBot="1" x14ac:dyDescent="0.3">
      <c r="A132" s="305"/>
      <c r="B132" s="148"/>
      <c r="C132" s="114" t="s">
        <v>207</v>
      </c>
      <c r="D132" s="115"/>
      <c r="E132" s="114"/>
      <c r="F132" s="114"/>
      <c r="G132" s="117"/>
      <c r="H132" s="149">
        <f>SUM(H35,H56,H89, H111,H125)</f>
        <v>0</v>
      </c>
    </row>
    <row r="133" spans="1:8" ht="16.5" thickTop="1" thickBot="1" x14ac:dyDescent="0.3">
      <c r="A133" s="306"/>
      <c r="B133" s="150"/>
      <c r="C133" s="130" t="s">
        <v>42</v>
      </c>
      <c r="D133" s="130"/>
      <c r="E133" s="130"/>
      <c r="F133" s="130"/>
      <c r="G133" s="151"/>
      <c r="H133" s="117">
        <f>SUM(H36,H57,H90, H112,H126)</f>
        <v>0</v>
      </c>
    </row>
    <row r="134" spans="1:8" ht="15.75" thickTop="1" x14ac:dyDescent="0.25"/>
  </sheetData>
  <sheetProtection sheet="1" formatCells="0" formatColumns="0" formatRows="0" insertRows="0"/>
  <mergeCells count="41">
    <mergeCell ref="A128:H128"/>
    <mergeCell ref="A129:A133"/>
    <mergeCell ref="A25:H25"/>
    <mergeCell ref="A38:H38"/>
    <mergeCell ref="A39:H39"/>
    <mergeCell ref="A59:H59"/>
    <mergeCell ref="A60:H60"/>
    <mergeCell ref="A61:F61"/>
    <mergeCell ref="A62:F62"/>
    <mergeCell ref="A74:F74"/>
    <mergeCell ref="G74:H74"/>
    <mergeCell ref="A75:H75"/>
    <mergeCell ref="A92:H92"/>
    <mergeCell ref="A93:H93"/>
    <mergeCell ref="A114:H114"/>
    <mergeCell ref="A115:H115"/>
    <mergeCell ref="C19:D19"/>
    <mergeCell ref="A16:D16"/>
    <mergeCell ref="A15:D15"/>
    <mergeCell ref="A10:B10"/>
    <mergeCell ref="C10:D10"/>
    <mergeCell ref="A11:B11"/>
    <mergeCell ref="C11:D11"/>
    <mergeCell ref="A12:B12"/>
    <mergeCell ref="C12:D12"/>
    <mergeCell ref="A22:H22"/>
    <mergeCell ref="A24:H24"/>
    <mergeCell ref="A2:H2"/>
    <mergeCell ref="A7:D7"/>
    <mergeCell ref="A9:D9"/>
    <mergeCell ref="F9:G9"/>
    <mergeCell ref="A13:B13"/>
    <mergeCell ref="C13:D13"/>
    <mergeCell ref="A4:D4"/>
    <mergeCell ref="A5:B5"/>
    <mergeCell ref="C5:D5"/>
    <mergeCell ref="A17:B17"/>
    <mergeCell ref="C17:D17"/>
    <mergeCell ref="A18:B18"/>
    <mergeCell ref="C18:D18"/>
    <mergeCell ref="A19:B19"/>
  </mergeCells>
  <dataValidations count="12">
    <dataValidation type="custom" allowBlank="1" showInputMessage="1" showErrorMessage="1" prompt="This would be the amount of time a client is enrolled in the program before they have a housing move-in date in HMIS." sqref="C18:D18" xr:uid="{D4EA068D-3B15-4D06-89A6-3AD59CE5C3CD}">
      <formula1>ISNUMBER(VALUE(C18))</formula1>
    </dataValidation>
    <dataValidation type="custom" allowBlank="1" showInputMessage="1" showErrorMessage="1" prompt="This would be the amount of time a client is enrolled in the program after they have a housing move-in date in HMIS." sqref="C19:D19" xr:uid="{A5CE0D4B-31EB-457C-818F-D05D1FA5F8F3}">
      <formula1>ISNUMBER(VALUE(C19))</formula1>
    </dataValidation>
    <dataValidation allowBlank="1" showInputMessage="1" showErrorMessage="1" prompt="This would be the amount of time a client is enrolled in the program before they have a housing move-in date in HMIS." sqref="A18:B18" xr:uid="{A8F18D70-3CC7-4E94-BE65-F3A16C0F6077}"/>
    <dataValidation allowBlank="1" showInputMessage="1" showErrorMessage="1" prompt="This would be the amount of time a client is enrolled in the program after they have a housing move-in date in HMIS." sqref="A19:B20 D20" xr:uid="{7B40BA2B-35B2-4E84-853B-831EC7FDAEE1}"/>
    <dataValidation allowBlank="1" showInputMessage="1" showErrorMessage="1" prompt="This column is auto-calculated based on the average rental cost and average utility cost per unit information." sqref="F63:F72" xr:uid="{CBDD18C3-F80B-4428-B350-8AAA1ABCB8F6}"/>
    <dataValidation allowBlank="1" showInputMessage="1" showErrorMessage="1" prompt="This field required a selection from a drop-down menu. To find this menu, click on the cell and click the down arrow on the right-hand of the cell. " sqref="C26 C40 C76 C94 C116" xr:uid="{9E9A78A3-205E-41DA-B5EE-9654795A9C5E}"/>
    <dataValidation allowBlank="1" showInputMessage="1" showErrorMessage="1" prompt="This field required a selection from a drop-down menu. To find this menu, click on the cell and click the down arrow on the right-hand of the cell." sqref="E26:F26 E40:F40 E76:F76 E94:F94 E116:F116" xr:uid="{FA16E7BF-222D-4FA4-B975-07B641B3A741}"/>
    <dataValidation allowBlank="1" showInputMessage="1" showErrorMessage="1" prompt="_x000a_" sqref="G13" xr:uid="{8F54CB1C-C7B2-4750-A7EE-4F0F7F40AF41}"/>
    <dataValidation type="custom" allowBlank="1" showInputMessage="1" showErrorMessage="1" sqref="D27:D31 D41:D52 D77:D85 D95:D107 D117:D121 B64:E71" xr:uid="{00D57DB4-8225-4A87-9FBA-96D3A01E9DE2}">
      <formula1>ISNUMBER(VALUE(B27))</formula1>
    </dataValidation>
    <dataValidation allowBlank="1" showErrorMessage="1" sqref="C20 F14:G14" xr:uid="{4BE2EED7-1318-42E0-A224-A9EB898DBA04}"/>
    <dataValidation type="custom" allowBlank="1" showInputMessage="1" showErrorMessage="1" prompt="Project capacity is the number of units available at a point in time. Depending on the project type, a unit may represent a rental subsidy, a room or bed in a congregate setting, a motel room, a supportive services slot, etc." sqref="C17:D17" xr:uid="{156E7653-BA71-4E35-806F-E6EEAD25CB9E}">
      <formula1>ISNUMBER(VALUE(C17))</formula1>
    </dataValidation>
    <dataValidation allowBlank="1" showInputMessage="1" showErrorMessage="1" prompt="Project capacity is the number of units available at a point in time. Depending on the project type, a unit may represent a rental subsidy, a room or bed in a congregate setting, a motel room, a supportive services slot, etc." sqref="A17:B17" xr:uid="{2D24EDC3-544A-416C-982E-9CD465C7B070}"/>
  </dataValidations>
  <pageMargins left="0.7" right="0.7" top="0.75" bottom="0.75" header="0.3" footer="0.3"/>
  <pageSetup orientation="portrait" horizontalDpi="90" verticalDpi="90" r:id="rId1"/>
  <tableParts count="5">
    <tablePart r:id="rId2"/>
    <tablePart r:id="rId3"/>
    <tablePart r:id="rId4"/>
    <tablePart r:id="rId5"/>
    <tablePart r:id="rId6"/>
  </tableParts>
  <extLst>
    <ext xmlns:x14="http://schemas.microsoft.com/office/spreadsheetml/2009/9/main" uri="{CCE6A557-97BC-4b89-ADB6-D9C93CAAB3DF}">
      <x14:dataValidations xmlns:xm="http://schemas.microsoft.com/office/excel/2006/main" count="9">
        <x14:dataValidation type="list" allowBlank="1" showInputMessage="1" showErrorMessage="1" prompt="This field required a selection from a drop-down menu. To find this menu, click on the cell and click the down arrow on the right-hand of the cell. " xr:uid="{6F7C5099-042C-426D-8E87-F35632F0A63F}">
          <x14:formula1>
            <xm:f>Allowable!$E$2:$E$4</xm:f>
          </x14:formula1>
          <xm:sqref>C117:C121 C95:C107 C77:C85</xm:sqref>
        </x14:dataValidation>
        <x14:dataValidation type="list" allowBlank="1" showInputMessage="1" showErrorMessage="1" xr:uid="{2E431B5A-ABBE-47F1-8323-29A5DB498F91}">
          <x14:formula1>
            <xm:f>Allowable!$B$2:$B$3</xm:f>
          </x14:formula1>
          <xm:sqref>F58</xm:sqref>
        </x14:dataValidation>
        <x14:dataValidation type="list" allowBlank="1" showInputMessage="1" showErrorMessage="1" xr:uid="{F9286C0F-2947-4380-85C1-8D67EF45088B}">
          <x14:formula1>
            <xm:f>Allowable!$A$2:$A$5</xm:f>
          </x14:formula1>
          <xm:sqref>E58</xm:sqref>
        </x14:dataValidation>
        <x14:dataValidation type="list" allowBlank="1" showInputMessage="1" showErrorMessage="1" prompt="This field required a selection from a drop-down menu. To find this menu, click on the cell and click the down arrow on the right-hand of the cell." xr:uid="{03FFC51A-5492-4995-B914-5D8E4360BCBE}">
          <x14:formula1>
            <xm:f>Allowable!$A$2:$A$5</xm:f>
          </x14:formula1>
          <xm:sqref>E27:E31 E41:E52</xm:sqref>
        </x14:dataValidation>
        <x14:dataValidation type="list" allowBlank="1" showInputMessage="1" showErrorMessage="1" prompt="This field required a selection from a drop-down menu. To find this menu, click on the cell and click the down arrow on the right-hand of the cell. " xr:uid="{3F9639F8-2362-4421-8DC9-909D72CA2EE0}">
          <x14:formula1>
            <xm:f>Allowable!$A$2:$A$5</xm:f>
          </x14:formula1>
          <xm:sqref>E41:E52 E77:E85 E95:E107 E117:E121</xm:sqref>
        </x14:dataValidation>
        <x14:dataValidation type="list" allowBlank="1" showInputMessage="1" showErrorMessage="1" prompt="This field required a selection from a drop-down menu. To find this menu, click on the cell and click the down arrow on the right-hand of the cell. " xr:uid="{5C653A89-1475-4712-AD20-59E3BD8DD58B}">
          <x14:formula1>
            <xm:f>Allowable!$B$2:$B$3</xm:f>
          </x14:formula1>
          <xm:sqref>F41:F52 F77:F85 F95:F107 F117:F121</xm:sqref>
        </x14:dataValidation>
        <x14:dataValidation type="list" allowBlank="1" showInputMessage="1" showErrorMessage="1" prompt="This field required a selection from a drop-down menu. To find this menu, click on the cell and click the down arrow on the right-hand of the cell." xr:uid="{E079C178-2949-4449-A67B-3745605EF0DF}">
          <x14:formula1>
            <xm:f>Allowable!$B$2:$B$3</xm:f>
          </x14:formula1>
          <xm:sqref>F27:F31</xm:sqref>
        </x14:dataValidation>
        <x14:dataValidation type="list" allowBlank="1" showInputMessage="1" showErrorMessage="1" xr:uid="{1DE6CD50-561B-4CA8-80E3-4E0222D27727}">
          <x14:formula1>
            <xm:f>Allowable!$D$2:$D$13</xm:f>
          </x14:formula1>
          <xm:sqref>C11:D11</xm:sqref>
        </x14:dataValidation>
        <x14:dataValidation type="list" allowBlank="1" showInputMessage="1" showErrorMessage="1" prompt="This field required a selection from a drop-down menu. To find this menu, click on the cell and click the down arrow on the right-hand of the cell. " xr:uid="{1E445AB1-F6EF-43EE-ACB0-7048C9BBB054}">
          <x14:formula1>
            <xm:f>Allowable!$E$2:$E$5</xm:f>
          </x14:formula1>
          <xm:sqref>C27:C31 C41:C52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FF7F1-9B76-4E74-974B-33697D4AEF9B}">
  <sheetPr>
    <tabColor theme="8" tint="0.79998168889431442"/>
  </sheetPr>
  <dimension ref="A2:I134"/>
  <sheetViews>
    <sheetView showGridLines="0" zoomScaleNormal="100" workbookViewId="0">
      <selection activeCell="F9" sqref="F9:G9"/>
    </sheetView>
  </sheetViews>
  <sheetFormatPr defaultColWidth="8.7109375" defaultRowHeight="15" outlineLevelRow="1" x14ac:dyDescent="0.25"/>
  <cols>
    <col min="1" max="1" width="27.140625" style="3" customWidth="1"/>
    <col min="2" max="2" width="21.140625" customWidth="1"/>
    <col min="3" max="3" width="18.5703125" customWidth="1"/>
    <col min="4" max="5" width="14.42578125" customWidth="1"/>
    <col min="6" max="6" width="22.85546875" style="128" customWidth="1"/>
    <col min="7" max="7" width="13.5703125" style="128" customWidth="1"/>
    <col min="8" max="8" width="13.140625" customWidth="1"/>
    <col min="9" max="9" width="10.5703125" customWidth="1"/>
    <col min="10" max="10" width="10.42578125" customWidth="1"/>
    <col min="11" max="11" width="22.5703125" customWidth="1"/>
    <col min="12" max="12" width="14.85546875" customWidth="1"/>
  </cols>
  <sheetData>
    <row r="2" spans="1:8" ht="26.25" x14ac:dyDescent="0.4">
      <c r="A2" s="288" t="str">
        <f>CONCATENATE("Comparable Projects for ", 'Model Project Type'!D10, " Cost Assumptions")</f>
        <v>Comparable Projects for  Cost Assumptions</v>
      </c>
      <c r="B2" s="288"/>
      <c r="C2" s="288"/>
      <c r="D2" s="288"/>
      <c r="E2" s="288"/>
      <c r="F2" s="288"/>
      <c r="G2" s="288"/>
      <c r="H2" s="288"/>
    </row>
    <row r="3" spans="1:8" ht="19.5" customHeight="1" x14ac:dyDescent="0.25"/>
    <row r="4" spans="1:8" ht="26.1" customHeight="1" x14ac:dyDescent="0.4">
      <c r="A4" s="273" t="s">
        <v>1</v>
      </c>
      <c r="B4" s="273"/>
      <c r="C4" s="273"/>
      <c r="D4" s="273"/>
    </row>
    <row r="5" spans="1:8" ht="30.6" customHeight="1" x14ac:dyDescent="0.25">
      <c r="A5" s="292" t="s">
        <v>109</v>
      </c>
      <c r="B5" s="292"/>
      <c r="C5" s="293" t="str">
        <f>IF('Model Project Type'!D10 = 0, " ", 'Model Project Type'!D10)</f>
        <v xml:space="preserve"> </v>
      </c>
      <c r="D5" s="293"/>
    </row>
    <row r="6" spans="1:8" ht="20.100000000000001" customHeight="1" x14ac:dyDescent="0.25">
      <c r="A6"/>
      <c r="F6"/>
      <c r="G6"/>
    </row>
    <row r="7" spans="1:8" ht="26.1" customHeight="1" x14ac:dyDescent="0.4">
      <c r="A7" s="273" t="s">
        <v>35</v>
      </c>
      <c r="B7" s="273"/>
      <c r="C7" s="273"/>
      <c r="D7" s="273"/>
    </row>
    <row r="8" spans="1:8" ht="5.45" customHeight="1" x14ac:dyDescent="0.4">
      <c r="A8" s="36"/>
      <c r="B8" s="36"/>
      <c r="C8" s="36"/>
      <c r="D8" s="36"/>
      <c r="F8" s="129"/>
      <c r="G8" s="129"/>
    </row>
    <row r="9" spans="1:8" ht="20.100000000000001" customHeight="1" x14ac:dyDescent="0.25">
      <c r="A9" s="289" t="s">
        <v>36</v>
      </c>
      <c r="B9" s="289"/>
      <c r="C9" s="289"/>
      <c r="D9" s="289"/>
      <c r="F9" s="308" t="s">
        <v>37</v>
      </c>
      <c r="G9" s="308"/>
    </row>
    <row r="10" spans="1:8" ht="19.7" customHeight="1" x14ac:dyDescent="0.25">
      <c r="A10" s="290" t="s">
        <v>38</v>
      </c>
      <c r="B10" s="290"/>
      <c r="C10" s="311"/>
      <c r="D10" s="311"/>
      <c r="F10" s="108" t="s">
        <v>68</v>
      </c>
      <c r="G10" s="111">
        <f>H129</f>
        <v>0</v>
      </c>
    </row>
    <row r="11" spans="1:8" ht="19.7" customHeight="1" x14ac:dyDescent="0.25">
      <c r="A11" s="286" t="s">
        <v>39</v>
      </c>
      <c r="B11" s="286"/>
      <c r="C11" s="310"/>
      <c r="D11" s="310"/>
      <c r="F11" s="108" t="s">
        <v>63</v>
      </c>
      <c r="G11" s="111">
        <f>H130</f>
        <v>0</v>
      </c>
    </row>
    <row r="12" spans="1:8" ht="19.7" customHeight="1" x14ac:dyDescent="0.25">
      <c r="A12" s="287" t="s">
        <v>40</v>
      </c>
      <c r="B12" s="287"/>
      <c r="C12" s="307"/>
      <c r="D12" s="307"/>
      <c r="F12" s="108" t="s">
        <v>58</v>
      </c>
      <c r="G12" s="111">
        <f>H131</f>
        <v>0</v>
      </c>
    </row>
    <row r="13" spans="1:8" ht="19.7" customHeight="1" thickBot="1" x14ac:dyDescent="0.3">
      <c r="A13" s="286" t="s">
        <v>41</v>
      </c>
      <c r="B13" s="286"/>
      <c r="C13" s="307"/>
      <c r="D13" s="307"/>
      <c r="F13" s="114" t="s">
        <v>207</v>
      </c>
      <c r="G13" s="117">
        <f>H132</f>
        <v>0</v>
      </c>
    </row>
    <row r="14" spans="1:8" ht="19.7" customHeight="1" thickTop="1" thickBot="1" x14ac:dyDescent="0.3">
      <c r="A14" s="7"/>
      <c r="B14" s="40"/>
      <c r="C14" s="35"/>
      <c r="D14" s="34"/>
      <c r="F14" s="130" t="s">
        <v>42</v>
      </c>
      <c r="G14" s="117">
        <f>H133</f>
        <v>0</v>
      </c>
    </row>
    <row r="15" spans="1:8" ht="19.7" customHeight="1" thickTop="1" x14ac:dyDescent="0.25">
      <c r="A15" s="280" t="s">
        <v>43</v>
      </c>
      <c r="B15" s="280"/>
      <c r="C15" s="280"/>
      <c r="D15" s="280"/>
    </row>
    <row r="16" spans="1:8" ht="44.45" customHeight="1" x14ac:dyDescent="0.25">
      <c r="A16" s="281" t="s">
        <v>44</v>
      </c>
      <c r="B16" s="282"/>
      <c r="C16" s="282"/>
      <c r="D16" s="282"/>
    </row>
    <row r="17" spans="1:9" ht="18.600000000000001" customHeight="1" x14ac:dyDescent="0.25">
      <c r="A17" s="283" t="s">
        <v>45</v>
      </c>
      <c r="B17" s="283"/>
      <c r="C17" s="309"/>
      <c r="D17" s="309"/>
    </row>
    <row r="18" spans="1:9" ht="44.45" customHeight="1" x14ac:dyDescent="0.25">
      <c r="A18" s="275" t="s">
        <v>46</v>
      </c>
      <c r="B18" s="275"/>
      <c r="C18" s="310"/>
      <c r="D18" s="310"/>
    </row>
    <row r="19" spans="1:9" ht="44.45" customHeight="1" x14ac:dyDescent="0.25">
      <c r="A19" s="275" t="s">
        <v>47</v>
      </c>
      <c r="B19" s="275"/>
      <c r="C19" s="307"/>
      <c r="D19" s="307"/>
    </row>
    <row r="20" spans="1:9" ht="14.1" customHeight="1" x14ac:dyDescent="0.25">
      <c r="A20" s="33"/>
      <c r="B20" s="33"/>
      <c r="C20" s="39"/>
      <c r="D20" s="35"/>
    </row>
    <row r="21" spans="1:9" ht="17.45" customHeight="1" x14ac:dyDescent="0.25">
      <c r="A21" s="4"/>
      <c r="B21" s="4"/>
      <c r="C21" s="35"/>
      <c r="D21" s="35"/>
    </row>
    <row r="22" spans="1:9" ht="21" customHeight="1" x14ac:dyDescent="0.4">
      <c r="A22" s="277" t="s">
        <v>48</v>
      </c>
      <c r="B22" s="277"/>
      <c r="C22" s="277"/>
      <c r="D22" s="277"/>
      <c r="E22" s="277"/>
      <c r="F22" s="277"/>
      <c r="G22" s="277"/>
      <c r="H22" s="277"/>
    </row>
    <row r="23" spans="1:9" ht="6.6" customHeight="1" x14ac:dyDescent="0.25">
      <c r="A23" s="32"/>
      <c r="B23" s="30"/>
      <c r="C23" s="30"/>
      <c r="D23" s="30"/>
      <c r="F23" s="129"/>
      <c r="G23" s="129"/>
    </row>
    <row r="24" spans="1:9" x14ac:dyDescent="0.25">
      <c r="A24" s="274" t="s">
        <v>49</v>
      </c>
      <c r="B24" s="274"/>
      <c r="C24" s="274"/>
      <c r="D24" s="274"/>
      <c r="E24" s="274"/>
      <c r="F24" s="274"/>
      <c r="G24" s="274"/>
      <c r="H24" s="274"/>
    </row>
    <row r="25" spans="1:9" ht="30.75" customHeight="1" outlineLevel="1" x14ac:dyDescent="0.25">
      <c r="A25" s="294" t="s">
        <v>50</v>
      </c>
      <c r="B25" s="294"/>
      <c r="C25" s="294"/>
      <c r="D25" s="294"/>
      <c r="E25" s="294"/>
      <c r="F25" s="294"/>
      <c r="G25" s="294"/>
      <c r="H25" s="294"/>
    </row>
    <row r="26" spans="1:9" s="3" customFormat="1" ht="28.35" customHeight="1" x14ac:dyDescent="0.25">
      <c r="A26" s="131" t="s">
        <v>51</v>
      </c>
      <c r="B26" s="131" t="s">
        <v>52</v>
      </c>
      <c r="C26" s="131" t="s">
        <v>53</v>
      </c>
      <c r="D26" s="131" t="s">
        <v>54</v>
      </c>
      <c r="E26" s="131" t="s">
        <v>55</v>
      </c>
      <c r="F26" s="131" t="s">
        <v>56</v>
      </c>
      <c r="G26" s="131" t="s">
        <v>57</v>
      </c>
      <c r="H26" s="132" t="s">
        <v>20</v>
      </c>
    </row>
    <row r="27" spans="1:9" x14ac:dyDescent="0.25">
      <c r="A27" s="75"/>
      <c r="B27" s="76"/>
      <c r="C27" s="77"/>
      <c r="D27" s="78"/>
      <c r="E27" s="79"/>
      <c r="F27" s="79"/>
      <c r="G27" s="53" t="e" cm="1">
        <f t="array" ref="G27">_xlfn.IFS(Administrative17667176818691961011061111161231281331381431481531585196212631364146[[#This Row],[Unit]]="Program-wide",((_xlfn.IFS(Administrative17667176818691961011061111161231281331381431481531585196212631364146[[#This Row],[Frequency]]="Per Year",Administrative17667176818691961011061111161231281331381431481531585196212631364146[[#This Row],[Cost]]/12,Administrative17667176818691961011061111161231281331381431481531585196212631364146[[#This Row],[Frequency]]="Per month",Administrative17667176818691961011061111161231281331381431481531585196212631364146[[#This Row],[Cost]],Administrative17667176818691961011061111161231281331381431481531585196212631364146[[#This Row],[Frequency]]="Per day",Administrative17667176818691961011061111161231281331381431481531585196212631364146[[#This Row],[Cost]]*30,Administrative17667176818691961011061111161231281331381431481531585196212631364146[[#This Row],[Frequency]]="One-time",Administrative17667176818691961011061111161231281331381431481531585196212631364146[[#This Row],[Cost]]/SUM(C18,C19)))/$C$17),Administrative17667176818691961011061111161231281331381431481531585196212631364146[[#This Row],[Unit]]="Per unit/space/household",(_xlfn.IFS(Administrative17667176818691961011061111161231281331381431481531585196212631364146[[#This Row],[Frequency]]="Per Year",Administrative17667176818691961011061111161231281331381431481531585196212631364146[[#This Row],[Cost]]/12,Administrative17667176818691961011061111161231281331381431481531585196212631364146[[#This Row],[Frequency]]="Per month",Administrative17667176818691961011061111161231281331381431481531585196212631364146[[#This Row],[Cost]],Administrative17667176818691961011061111161231281331381431481531585196212631364146[[#This Row],[Frequency]]="Per day",Administrative17667176818691961011061111161231281331381431481531585196212631364146[[#This Row],[Cost]]*30,Administrative17667176818691961011061111161231281331381431481531585196212631364146[[#This Row],[Frequency]]="One-time",Administrative17667176818691961011061111161231281331381431481531585196212631364146[[#This Row],[Cost]]/SUM($C$18,$C$19))))</f>
        <v>#N/A</v>
      </c>
      <c r="H27" s="46" t="e">
        <f>Administrative17667176818691961011061111161231281331381431481531585196212631364146[[#This Row],[Monthly Cost Per Unit]]*12</f>
        <v>#N/A</v>
      </c>
    </row>
    <row r="28" spans="1:9" x14ac:dyDescent="0.25">
      <c r="A28" s="75"/>
      <c r="B28" s="76"/>
      <c r="C28" s="77"/>
      <c r="D28" s="78"/>
      <c r="E28" s="79"/>
      <c r="F28" s="79"/>
      <c r="G28" s="53" t="e" cm="1">
        <f t="array" ref="G28">_xlfn.IFS(Administrative17667176818691961011061111161231281331381431481531585196212631364146[[#This Row],[Unit]]="Program-wide",((_xlfn.IFS(Administrative17667176818691961011061111161231281331381431481531585196212631364146[[#This Row],[Frequency]]="Per Year",Administrative17667176818691961011061111161231281331381431481531585196212631364146[[#This Row],[Cost]]/12,Administrative17667176818691961011061111161231281331381431481531585196212631364146[[#This Row],[Frequency]]="Per month",Administrative17667176818691961011061111161231281331381431481531585196212631364146[[#This Row],[Cost]],Administrative17667176818691961011061111161231281331381431481531585196212631364146[[#This Row],[Frequency]]="Per day",Administrative17667176818691961011061111161231281331381431481531585196212631364146[[#This Row],[Cost]]*30,Administrative17667176818691961011061111161231281331381431481531585196212631364146[[#This Row],[Frequency]]="One-time",Administrative17667176818691961011061111161231281331381431481531585196212631364146[[#This Row],[Cost]]/SUM(C18,C19)))/$C$17),Administrative17667176818691961011061111161231281331381431481531585196212631364146[[#This Row],[Unit]]="Per unit/space/household",(_xlfn.IFS(Administrative17667176818691961011061111161231281331381431481531585196212631364146[[#This Row],[Frequency]]="Per Year",Administrative17667176818691961011061111161231281331381431481531585196212631364146[[#This Row],[Cost]]/12,Administrative17667176818691961011061111161231281331381431481531585196212631364146[[#This Row],[Frequency]]="Per month",Administrative17667176818691961011061111161231281331381431481531585196212631364146[[#This Row],[Cost]],Administrative17667176818691961011061111161231281331381431481531585196212631364146[[#This Row],[Frequency]]="Per day",Administrative17667176818691961011061111161231281331381431481531585196212631364146[[#This Row],[Cost]]*30,Administrative17667176818691961011061111161231281331381431481531585196212631364146[[#This Row],[Frequency]]="One-time",Administrative17667176818691961011061111161231281331381431481531585196212631364146[[#This Row],[Cost]]/SUM($C$18,$C$19))))</f>
        <v>#N/A</v>
      </c>
      <c r="H28" s="46" t="e">
        <f>Administrative17667176818691961011061111161231281331381431481531585196212631364146[[#This Row],[Monthly Cost Per Unit]]*12</f>
        <v>#N/A</v>
      </c>
    </row>
    <row r="29" spans="1:9" x14ac:dyDescent="0.25">
      <c r="A29" s="75"/>
      <c r="B29" s="76"/>
      <c r="C29" s="77"/>
      <c r="D29" s="78"/>
      <c r="E29" s="79"/>
      <c r="F29" s="79"/>
      <c r="G29" s="53" t="e" cm="1">
        <f t="array" ref="G29">_xlfn.IFS(Administrative17667176818691961011061111161231281331381431481531585196212631364146[[#This Row],[Unit]]="Program-wide",((_xlfn.IFS(Administrative17667176818691961011061111161231281331381431481531585196212631364146[[#This Row],[Frequency]]="Per Year",Administrative17667176818691961011061111161231281331381431481531585196212631364146[[#This Row],[Cost]]/12,Administrative17667176818691961011061111161231281331381431481531585196212631364146[[#This Row],[Frequency]]="Per month",Administrative17667176818691961011061111161231281331381431481531585196212631364146[[#This Row],[Cost]],Administrative17667176818691961011061111161231281331381431481531585196212631364146[[#This Row],[Frequency]]="Per day",Administrative17667176818691961011061111161231281331381431481531585196212631364146[[#This Row],[Cost]]*30,Administrative17667176818691961011061111161231281331381431481531585196212631364146[[#This Row],[Frequency]]="One-time",Administrative17667176818691961011061111161231281331381431481531585196212631364146[[#This Row],[Cost]]/SUM(C18,C19)))/$C$17),Administrative17667176818691961011061111161231281331381431481531585196212631364146[[#This Row],[Unit]]="Per unit/space/household",(_xlfn.IFS(Administrative17667176818691961011061111161231281331381431481531585196212631364146[[#This Row],[Frequency]]="Per Year",Administrative17667176818691961011061111161231281331381431481531585196212631364146[[#This Row],[Cost]]/12,Administrative17667176818691961011061111161231281331381431481531585196212631364146[[#This Row],[Frequency]]="Per month",Administrative17667176818691961011061111161231281331381431481531585196212631364146[[#This Row],[Cost]],Administrative17667176818691961011061111161231281331381431481531585196212631364146[[#This Row],[Frequency]]="Per day",Administrative17667176818691961011061111161231281331381431481531585196212631364146[[#This Row],[Cost]]*30,Administrative17667176818691961011061111161231281331381431481531585196212631364146[[#This Row],[Frequency]]="One-time",Administrative17667176818691961011061111161231281331381431481531585196212631364146[[#This Row],[Cost]]/SUM($C$18,$C$19))))</f>
        <v>#N/A</v>
      </c>
      <c r="H29" s="46" t="e">
        <f>Administrative17667176818691961011061111161231281331381431481531585196212631364146[[#This Row],[Monthly Cost Per Unit]]*12</f>
        <v>#N/A</v>
      </c>
    </row>
    <row r="30" spans="1:9" x14ac:dyDescent="0.25">
      <c r="A30" s="75"/>
      <c r="B30" s="76"/>
      <c r="C30" s="77"/>
      <c r="D30" s="78"/>
      <c r="E30" s="79"/>
      <c r="F30" s="79"/>
      <c r="G30" s="53" t="e" cm="1">
        <f t="array" ref="G30">_xlfn.IFS(Administrative17667176818691961011061111161231281331381431481531585196212631364146[[#This Row],[Unit]]="Program-wide",((_xlfn.IFS(Administrative17667176818691961011061111161231281331381431481531585196212631364146[[#This Row],[Frequency]]="Per Year",Administrative17667176818691961011061111161231281331381431481531585196212631364146[[#This Row],[Cost]]/12,Administrative17667176818691961011061111161231281331381431481531585196212631364146[[#This Row],[Frequency]]="Per month",Administrative17667176818691961011061111161231281331381431481531585196212631364146[[#This Row],[Cost]],Administrative17667176818691961011061111161231281331381431481531585196212631364146[[#This Row],[Frequency]]="Per day",Administrative17667176818691961011061111161231281331381431481531585196212631364146[[#This Row],[Cost]]*30,Administrative17667176818691961011061111161231281331381431481531585196212631364146[[#This Row],[Frequency]]="One-time",Administrative17667176818691961011061111161231281331381431481531585196212631364146[[#This Row],[Cost]]/SUM(C18,C19)))/$C$17),Administrative17667176818691961011061111161231281331381431481531585196212631364146[[#This Row],[Unit]]="Per unit/space/household",(_xlfn.IFS(Administrative17667176818691961011061111161231281331381431481531585196212631364146[[#This Row],[Frequency]]="Per Year",Administrative17667176818691961011061111161231281331381431481531585196212631364146[[#This Row],[Cost]]/12,Administrative17667176818691961011061111161231281331381431481531585196212631364146[[#This Row],[Frequency]]="Per month",Administrative17667176818691961011061111161231281331381431481531585196212631364146[[#This Row],[Cost]],Administrative17667176818691961011061111161231281331381431481531585196212631364146[[#This Row],[Frequency]]="Per day",Administrative17667176818691961011061111161231281331381431481531585196212631364146[[#This Row],[Cost]]*30,Administrative17667176818691961011061111161231281331381431481531585196212631364146[[#This Row],[Frequency]]="One-time",Administrative17667176818691961011061111161231281331381431481531585196212631364146[[#This Row],[Cost]]/SUM($C$18,$C$19))))</f>
        <v>#N/A</v>
      </c>
      <c r="H30" s="46" t="e">
        <f>Administrative17667176818691961011061111161231281331381431481531585196212631364146[[#This Row],[Monthly Cost Per Unit]]*12</f>
        <v>#N/A</v>
      </c>
    </row>
    <row r="31" spans="1:9" s="1" customFormat="1" x14ac:dyDescent="0.25">
      <c r="A31" s="80"/>
      <c r="B31" s="81"/>
      <c r="C31" s="82"/>
      <c r="D31" s="83"/>
      <c r="E31" s="84"/>
      <c r="F31" s="84"/>
      <c r="G31" s="54" t="e" cm="1">
        <f t="array" ref="G31">_xlfn.IFS(Administrative17667176818691961011061111161231281331381431481531585196212631364146[[#This Row],[Unit]]="Program-wide",((_xlfn.IFS(Administrative17667176818691961011061111161231281331381431481531585196212631364146[[#This Row],[Frequency]]="Per Year",Administrative17667176818691961011061111161231281331381431481531585196212631364146[[#This Row],[Cost]]/12,Administrative17667176818691961011061111161231281331381431481531585196212631364146[[#This Row],[Frequency]]="Per month",Administrative17667176818691961011061111161231281331381431481531585196212631364146[[#This Row],[Cost]],Administrative17667176818691961011061111161231281331381431481531585196212631364146[[#This Row],[Frequency]]="Per day",Administrative17667176818691961011061111161231281331381431481531585196212631364146[[#This Row],[Cost]]*30,Administrative17667176818691961011061111161231281331381431481531585196212631364146[[#This Row],[Frequency]]="One-time",Administrative17667176818691961011061111161231281331381431481531585196212631364146[[#This Row],[Cost]]/SUM(C18,C19)))/$C$17),Administrative17667176818691961011061111161231281331381431481531585196212631364146[[#This Row],[Unit]]="Per unit/space/household",(_xlfn.IFS(Administrative17667176818691961011061111161231281331381431481531585196212631364146[[#This Row],[Frequency]]="Per Year",Administrative17667176818691961011061111161231281331381431481531585196212631364146[[#This Row],[Cost]]/12,Administrative17667176818691961011061111161231281331381431481531585196212631364146[[#This Row],[Frequency]]="Per month",Administrative17667176818691961011061111161231281331381431481531585196212631364146[[#This Row],[Cost]],Administrative17667176818691961011061111161231281331381431481531585196212631364146[[#This Row],[Frequency]]="Per day",Administrative17667176818691961011061111161231281331381431481531585196212631364146[[#This Row],[Cost]]*30,Administrative17667176818691961011061111161231281331381431481531585196212631364146[[#This Row],[Frequency]]="One-time",Administrative17667176818691961011061111161231281331381431481531585196212631364146[[#This Row],[Cost]]/SUM($C$18,$C$19))))</f>
        <v>#N/A</v>
      </c>
      <c r="H31" s="46" t="e">
        <f>Administrative17667176818691961011061111161231281331381431481531585196212631364146[[#This Row],[Monthly Cost Per Unit]]*12</f>
        <v>#N/A</v>
      </c>
      <c r="I31"/>
    </row>
    <row r="32" spans="1:9" x14ac:dyDescent="0.25">
      <c r="A32" s="107" t="s">
        <v>20</v>
      </c>
      <c r="B32" s="107"/>
      <c r="C32" s="108" t="s">
        <v>68</v>
      </c>
      <c r="D32" s="109"/>
      <c r="E32" s="108"/>
      <c r="F32" s="108"/>
      <c r="G32" s="110"/>
      <c r="H32" s="111">
        <f>(SUMIF(Administrative17667176818691961011061111161231281331381431481531585196212631364146[Duration],"While homeless only",Administrative17667176818691961011061111161231281331381431481531585196212631364146[Monthly Cost Per Unit]))*12</f>
        <v>0</v>
      </c>
    </row>
    <row r="33" spans="1:8" x14ac:dyDescent="0.25">
      <c r="A33" s="112"/>
      <c r="B33" s="112"/>
      <c r="C33" s="108" t="s">
        <v>63</v>
      </c>
      <c r="D33" s="109"/>
      <c r="E33" s="108"/>
      <c r="F33" s="108"/>
      <c r="G33" s="110"/>
      <c r="H33" s="111">
        <f>(SUMIF(Administrative17667176818691961011061111161231281331381431481531585196212631364146[Duration],"While housed only",Administrative17667176818691961011061111161231281331381431481531585196212631364146[Monthly Cost Per Unit]))*12</f>
        <v>0</v>
      </c>
    </row>
    <row r="34" spans="1:8" x14ac:dyDescent="0.25">
      <c r="A34" s="112"/>
      <c r="B34" s="112"/>
      <c r="C34" s="108" t="s">
        <v>58</v>
      </c>
      <c r="D34" s="109"/>
      <c r="E34" s="108"/>
      <c r="F34" s="108"/>
      <c r="G34" s="110"/>
      <c r="H34" s="111">
        <f>(SUMIF(Administrative17667176818691961011061111161231281331381431481531585196212631364146[Duration],"Homeless &amp; housed",Administrative17667176818691961011061111161231281331381431481531585196212631364146[Monthly Cost Per Unit]))*12</f>
        <v>0</v>
      </c>
    </row>
    <row r="35" spans="1:8" ht="15.75" thickBot="1" x14ac:dyDescent="0.3">
      <c r="A35" s="113"/>
      <c r="B35" s="113"/>
      <c r="C35" s="114" t="s">
        <v>207</v>
      </c>
      <c r="D35" s="115"/>
      <c r="E35" s="114"/>
      <c r="F35" s="114"/>
      <c r="G35" s="116"/>
      <c r="H35" s="117">
        <f>(SUMIF(Administrative17667176818691961011061111161231281331381431481531585196212631364146[Duration],"N/A",Administrative17667176818691961011061111161231281331381431481531585196212631364146[Monthly Cost Per Unit]))*12</f>
        <v>0</v>
      </c>
    </row>
    <row r="36" spans="1:8" ht="16.5" thickTop="1" thickBot="1" x14ac:dyDescent="0.3">
      <c r="A36" s="113"/>
      <c r="B36" s="113"/>
      <c r="C36" s="114" t="s">
        <v>42</v>
      </c>
      <c r="D36" s="115"/>
      <c r="E36" s="114"/>
      <c r="F36" s="114"/>
      <c r="G36" s="133"/>
      <c r="H36" s="117">
        <f>SUM(H32:H35)</f>
        <v>0</v>
      </c>
    </row>
    <row r="37" spans="1:8" ht="15.75" thickTop="1" x14ac:dyDescent="0.25">
      <c r="A37" s="10"/>
      <c r="B37" s="10"/>
      <c r="C37" s="10"/>
      <c r="D37" s="10"/>
      <c r="F37" s="129"/>
      <c r="G37" s="129"/>
    </row>
    <row r="38" spans="1:8" x14ac:dyDescent="0.25">
      <c r="A38" s="274" t="s">
        <v>61</v>
      </c>
      <c r="B38" s="274"/>
      <c r="C38" s="274"/>
      <c r="D38" s="274"/>
      <c r="E38" s="274"/>
      <c r="F38" s="274"/>
      <c r="G38" s="274"/>
      <c r="H38" s="274"/>
    </row>
    <row r="39" spans="1:8" ht="30" customHeight="1" outlineLevel="1" x14ac:dyDescent="0.25">
      <c r="A39" s="294" t="s">
        <v>62</v>
      </c>
      <c r="B39" s="294"/>
      <c r="C39" s="294"/>
      <c r="D39" s="294"/>
      <c r="E39" s="294"/>
      <c r="F39" s="294"/>
      <c r="G39" s="294"/>
      <c r="H39" s="294"/>
    </row>
    <row r="40" spans="1:8" s="3" customFormat="1" ht="28.35" customHeight="1" x14ac:dyDescent="0.25">
      <c r="A40" s="131" t="s">
        <v>51</v>
      </c>
      <c r="B40" s="131" t="s">
        <v>52</v>
      </c>
      <c r="C40" s="131" t="s">
        <v>53</v>
      </c>
      <c r="D40" s="131" t="s">
        <v>54</v>
      </c>
      <c r="E40" s="131" t="s">
        <v>55</v>
      </c>
      <c r="F40" s="131" t="s">
        <v>56</v>
      </c>
      <c r="G40" s="131" t="s">
        <v>57</v>
      </c>
      <c r="H40" s="132" t="s">
        <v>20</v>
      </c>
    </row>
    <row r="41" spans="1:8" x14ac:dyDescent="0.25">
      <c r="A41" s="75"/>
      <c r="B41" s="76"/>
      <c r="C41" s="88"/>
      <c r="D41" s="89"/>
      <c r="E41" s="79"/>
      <c r="F41" s="79"/>
      <c r="G41" s="53" t="e" cm="1">
        <f t="array" ref="G41">_xlfn.IFS(Operations18677277828792971021071121171241291341391441491541595297222732374247[[#This Row],[Unit]]="Program-wide",((_xlfn.IFS(Operations18677277828792971021071121171241291341391441491541595297222732374247[[#This Row],[Frequency]]="Per Year",Operations18677277828792971021071121171241291341391441491541595297222732374247[[#This Row],[Cost]]/12,Operations18677277828792971021071121171241291341391441491541595297222732374247[[#This Row],[Frequency]]="Per month",Operations18677277828792971021071121171241291341391441491541595297222732374247[[#This Row],[Cost]],Operations18677277828792971021071121171241291341391441491541595297222732374247[[#This Row],[Frequency]]="Per day",Operations18677277828792971021071121171241291341391441491541595297222732374247[[#This Row],[Cost]]*30,Operations18677277828792971021071121171241291341391441491541595297222732374247[[#This Row],[Frequency]]="One-time",Operations18677277828792971021071121171241291341391441491541595297222732374247[[#This Row],[Cost]]/SUM(C18,C19)))/$C$17),Operations18677277828792971021071121171241291341391441491541595297222732374247[[#This Row],[Unit]]="Per unit/space/household",(_xlfn.IFS(Operations18677277828792971021071121171241291341391441491541595297222732374247[[#This Row],[Frequency]]="Per Year",Operations18677277828792971021071121171241291341391441491541595297222732374247[[#This Row],[Cost]]/12,Operations18677277828792971021071121171241291341391441491541595297222732374247[[#This Row],[Frequency]]="Per month",Operations18677277828792971021071121171241291341391441491541595297222732374247[[#This Row],[Cost]],Operations18677277828792971021071121171241291341391441491541595297222732374247[[#This Row],[Frequency]]="Per day",Operations18677277828792971021071121171241291341391441491541595297222732374247[[#This Row],[Cost]]*30,Operations18677277828792971021071121171241291341391441491541595297222732374247[[#This Row],[Frequency]]="One-time",Operations18677277828792971021071121171241291341391441491541595297222732374247[[#This Row],[Cost]]/SUM($C$18,$C$19))))</f>
        <v>#N/A</v>
      </c>
      <c r="H41" s="46" t="e">
        <f>Operations18677277828792971021071121171241291341391441491541595297222732374247[[#This Row],[Monthly Cost Per Unit]]*12</f>
        <v>#N/A</v>
      </c>
    </row>
    <row r="42" spans="1:8" x14ac:dyDescent="0.25">
      <c r="A42" s="75"/>
      <c r="B42" s="76"/>
      <c r="C42" s="77"/>
      <c r="D42" s="78"/>
      <c r="E42" s="79"/>
      <c r="F42" s="79"/>
      <c r="G42" s="53" t="e" cm="1">
        <f t="array" ref="G42">_xlfn.IFS(Operations18677277828792971021071121171241291341391441491541595297222732374247[[#This Row],[Unit]]="Program-wide",((_xlfn.IFS(Operations18677277828792971021071121171241291341391441491541595297222732374247[[#This Row],[Frequency]]="Per Year",Operations18677277828792971021071121171241291341391441491541595297222732374247[[#This Row],[Cost]]/12,Operations18677277828792971021071121171241291341391441491541595297222732374247[[#This Row],[Frequency]]="Per month",Operations18677277828792971021071121171241291341391441491541595297222732374247[[#This Row],[Cost]],Operations18677277828792971021071121171241291341391441491541595297222732374247[[#This Row],[Frequency]]="Per day",Operations18677277828792971021071121171241291341391441491541595297222732374247[[#This Row],[Cost]]*30,Operations18677277828792971021071121171241291341391441491541595297222732374247[[#This Row],[Frequency]]="One-time",Operations18677277828792971021071121171241291341391441491541595297222732374247[[#This Row],[Cost]]/SUM($C$18,$C$19)))/$C$17),Operations18677277828792971021071121171241291341391441491541595297222732374247[[#This Row],[Unit]]="Per unit/space/household",(_xlfn.IFS(Operations18677277828792971021071121171241291341391441491541595297222732374247[[#This Row],[Frequency]]="Per Year",Operations18677277828792971021071121171241291341391441491541595297222732374247[[#This Row],[Cost]]/12,Operations18677277828792971021071121171241291341391441491541595297222732374247[[#This Row],[Frequency]]="Per month",Operations18677277828792971021071121171241291341391441491541595297222732374247[[#This Row],[Cost]],Operations18677277828792971021071121171241291341391441491541595297222732374247[[#This Row],[Frequency]]="Per day",Operations18677277828792971021071121171241291341391441491541595297222732374247[[#This Row],[Cost]]*30,Operations18677277828792971021071121171241291341391441491541595297222732374247[[#This Row],[Frequency]]="One-time",Operations18677277828792971021071121171241291341391441491541595297222732374247[[#This Row],[Cost]]/SUM($C$18,$C$19))))</f>
        <v>#N/A</v>
      </c>
      <c r="H42" s="46" t="e">
        <f>Operations18677277828792971021071121171241291341391441491541595297222732374247[[#This Row],[Monthly Cost Per Unit]]*12</f>
        <v>#N/A</v>
      </c>
    </row>
    <row r="43" spans="1:8" x14ac:dyDescent="0.25">
      <c r="A43" s="75"/>
      <c r="B43" s="76"/>
      <c r="C43" s="77"/>
      <c r="D43" s="78"/>
      <c r="E43" s="79"/>
      <c r="F43" s="79"/>
      <c r="G43" s="53" t="e" cm="1">
        <f t="array" ref="G43">_xlfn.IFS(Operations18677277828792971021071121171241291341391441491541595297222732374247[[#This Row],[Unit]]="Program-wide",((_xlfn.IFS(Operations18677277828792971021071121171241291341391441491541595297222732374247[[#This Row],[Frequency]]="Per Year",Operations18677277828792971021071121171241291341391441491541595297222732374247[[#This Row],[Cost]]/12,Operations18677277828792971021071121171241291341391441491541595297222732374247[[#This Row],[Frequency]]="Per month",Operations18677277828792971021071121171241291341391441491541595297222732374247[[#This Row],[Cost]],Operations18677277828792971021071121171241291341391441491541595297222732374247[[#This Row],[Frequency]]="Per day",Operations18677277828792971021071121171241291341391441491541595297222732374247[[#This Row],[Cost]]*30,Operations18677277828792971021071121171241291341391441491541595297222732374247[[#This Row],[Frequency]]="One-time",Operations18677277828792971021071121171241291341391441491541595297222732374247[[#This Row],[Cost]]/SUM($C$18,$C$19)))/$C$17),Operations18677277828792971021071121171241291341391441491541595297222732374247[[#This Row],[Unit]]="Per unit/space/household",(_xlfn.IFS(Operations18677277828792971021071121171241291341391441491541595297222732374247[[#This Row],[Frequency]]="Per Year",Operations18677277828792971021071121171241291341391441491541595297222732374247[[#This Row],[Cost]]/12,Operations18677277828792971021071121171241291341391441491541595297222732374247[[#This Row],[Frequency]]="Per month",Operations18677277828792971021071121171241291341391441491541595297222732374247[[#This Row],[Cost]],Operations18677277828792971021071121171241291341391441491541595297222732374247[[#This Row],[Frequency]]="Per day",Operations18677277828792971021071121171241291341391441491541595297222732374247[[#This Row],[Cost]]*30,Operations18677277828792971021071121171241291341391441491541595297222732374247[[#This Row],[Frequency]]="One-time",Operations18677277828792971021071121171241291341391441491541595297222732374247[[#This Row],[Cost]]/SUM($C$18,$C$19))))</f>
        <v>#N/A</v>
      </c>
      <c r="H43" s="46" t="e">
        <f>Operations18677277828792971021071121171241291341391441491541595297222732374247[[#This Row],[Monthly Cost Per Unit]]*12</f>
        <v>#N/A</v>
      </c>
    </row>
    <row r="44" spans="1:8" x14ac:dyDescent="0.25">
      <c r="A44" s="75"/>
      <c r="B44" s="76"/>
      <c r="C44" s="77"/>
      <c r="D44" s="78"/>
      <c r="E44" s="79"/>
      <c r="F44" s="79"/>
      <c r="G44" s="53" t="e" cm="1">
        <f t="array" ref="G44">_xlfn.IFS(Operations18677277828792971021071121171241291341391441491541595297222732374247[[#This Row],[Unit]]="Program-wide",((_xlfn.IFS(Operations18677277828792971021071121171241291341391441491541595297222732374247[[#This Row],[Frequency]]="Per Year",Operations18677277828792971021071121171241291341391441491541595297222732374247[[#This Row],[Cost]]/12,Operations18677277828792971021071121171241291341391441491541595297222732374247[[#This Row],[Frequency]]="Per month",Operations18677277828792971021071121171241291341391441491541595297222732374247[[#This Row],[Cost]],Operations18677277828792971021071121171241291341391441491541595297222732374247[[#This Row],[Frequency]]="Per day",Operations18677277828792971021071121171241291341391441491541595297222732374247[[#This Row],[Cost]]*30,Operations18677277828792971021071121171241291341391441491541595297222732374247[[#This Row],[Frequency]]="One-time",Operations18677277828792971021071121171241291341391441491541595297222732374247[[#This Row],[Cost]]/SUM($C$18,$C$19)))/$C$17),Operations18677277828792971021071121171241291341391441491541595297222732374247[[#This Row],[Unit]]="Per unit/space/household",(_xlfn.IFS(Operations18677277828792971021071121171241291341391441491541595297222732374247[[#This Row],[Frequency]]="Per Year",Operations18677277828792971021071121171241291341391441491541595297222732374247[[#This Row],[Cost]]/12,Operations18677277828792971021071121171241291341391441491541595297222732374247[[#This Row],[Frequency]]="Per month",Operations18677277828792971021071121171241291341391441491541595297222732374247[[#This Row],[Cost]],Operations18677277828792971021071121171241291341391441491541595297222732374247[[#This Row],[Frequency]]="Per day",Operations18677277828792971021071121171241291341391441491541595297222732374247[[#This Row],[Cost]]*30,Operations18677277828792971021071121171241291341391441491541595297222732374247[[#This Row],[Frequency]]="One-time",Operations18677277828792971021071121171241291341391441491541595297222732374247[[#This Row],[Cost]]/SUM($C$18,$C$19))))</f>
        <v>#N/A</v>
      </c>
      <c r="H44" s="46" t="e">
        <f>Operations18677277828792971021071121171241291341391441491541595297222732374247[[#This Row],[Monthly Cost Per Unit]]*12</f>
        <v>#N/A</v>
      </c>
    </row>
    <row r="45" spans="1:8" x14ac:dyDescent="0.25">
      <c r="A45" s="75"/>
      <c r="B45" s="76"/>
      <c r="C45" s="77"/>
      <c r="D45" s="78"/>
      <c r="E45" s="79"/>
      <c r="F45" s="79"/>
      <c r="G45" s="53" t="e" cm="1">
        <f t="array" ref="G45">_xlfn.IFS(Operations18677277828792971021071121171241291341391441491541595297222732374247[[#This Row],[Unit]]="Program-wide",((_xlfn.IFS(Operations18677277828792971021071121171241291341391441491541595297222732374247[[#This Row],[Frequency]]="Per Year",Operations18677277828792971021071121171241291341391441491541595297222732374247[[#This Row],[Cost]]/12,Operations18677277828792971021071121171241291341391441491541595297222732374247[[#This Row],[Frequency]]="Per month",Operations18677277828792971021071121171241291341391441491541595297222732374247[[#This Row],[Cost]],Operations18677277828792971021071121171241291341391441491541595297222732374247[[#This Row],[Frequency]]="Per day",Operations18677277828792971021071121171241291341391441491541595297222732374247[[#This Row],[Cost]]*30,Operations18677277828792971021071121171241291341391441491541595297222732374247[[#This Row],[Frequency]]="One-time",Operations18677277828792971021071121171241291341391441491541595297222732374247[[#This Row],[Cost]]/SUM($C$18,$C$19)))/$C$17),Operations18677277828792971021071121171241291341391441491541595297222732374247[[#This Row],[Unit]]="Per unit/space/household",(_xlfn.IFS(Operations18677277828792971021071121171241291341391441491541595297222732374247[[#This Row],[Frequency]]="Per Year",Operations18677277828792971021071121171241291341391441491541595297222732374247[[#This Row],[Cost]]/12,Operations18677277828792971021071121171241291341391441491541595297222732374247[[#This Row],[Frequency]]="Per month",Operations18677277828792971021071121171241291341391441491541595297222732374247[[#This Row],[Cost]],Operations18677277828792971021071121171241291341391441491541595297222732374247[[#This Row],[Frequency]]="Per day",Operations18677277828792971021071121171241291341391441491541595297222732374247[[#This Row],[Cost]]*30,Operations18677277828792971021071121171241291341391441491541595297222732374247[[#This Row],[Frequency]]="One-time",Operations18677277828792971021071121171241291341391441491541595297222732374247[[#This Row],[Cost]]/SUM($C$18,$C$19))))</f>
        <v>#N/A</v>
      </c>
      <c r="H45" s="46" t="e">
        <f>Operations18677277828792971021071121171241291341391441491541595297222732374247[[#This Row],[Monthly Cost Per Unit]]*12</f>
        <v>#N/A</v>
      </c>
    </row>
    <row r="46" spans="1:8" x14ac:dyDescent="0.25">
      <c r="A46" s="75"/>
      <c r="B46" s="76"/>
      <c r="C46" s="77"/>
      <c r="D46" s="78"/>
      <c r="E46" s="79"/>
      <c r="F46" s="79"/>
      <c r="G46" s="53" t="e" cm="1">
        <f t="array" ref="G46">_xlfn.IFS(Operations18677277828792971021071121171241291341391441491541595297222732374247[[#This Row],[Unit]]="Program-wide",((_xlfn.IFS(Operations18677277828792971021071121171241291341391441491541595297222732374247[[#This Row],[Frequency]]="Per Year",Operations18677277828792971021071121171241291341391441491541595297222732374247[[#This Row],[Cost]]/12,Operations18677277828792971021071121171241291341391441491541595297222732374247[[#This Row],[Frequency]]="Per month",Operations18677277828792971021071121171241291341391441491541595297222732374247[[#This Row],[Cost]],Operations18677277828792971021071121171241291341391441491541595297222732374247[[#This Row],[Frequency]]="Per day",Operations18677277828792971021071121171241291341391441491541595297222732374247[[#This Row],[Cost]]*30,Operations18677277828792971021071121171241291341391441491541595297222732374247[[#This Row],[Frequency]]="One-time",Operations18677277828792971021071121171241291341391441491541595297222732374247[[#This Row],[Cost]]/SUM($C$18,$C$19)))/$C$17),Operations18677277828792971021071121171241291341391441491541595297222732374247[[#This Row],[Unit]]="Per unit/space/household",(_xlfn.IFS(Operations18677277828792971021071121171241291341391441491541595297222732374247[[#This Row],[Frequency]]="Per Year",Operations18677277828792971021071121171241291341391441491541595297222732374247[[#This Row],[Cost]]/12,Operations18677277828792971021071121171241291341391441491541595297222732374247[[#This Row],[Frequency]]="Per month",Operations18677277828792971021071121171241291341391441491541595297222732374247[[#This Row],[Cost]],Operations18677277828792971021071121171241291341391441491541595297222732374247[[#This Row],[Frequency]]="Per day",Operations18677277828792971021071121171241291341391441491541595297222732374247[[#This Row],[Cost]]*30,Operations18677277828792971021071121171241291341391441491541595297222732374247[[#This Row],[Frequency]]="One-time",Operations18677277828792971021071121171241291341391441491541595297222732374247[[#This Row],[Cost]]/SUM($C$18,$C$19))))</f>
        <v>#N/A</v>
      </c>
      <c r="H46" s="46" t="e">
        <f>Operations18677277828792971021071121171241291341391441491541595297222732374247[[#This Row],[Monthly Cost Per Unit]]*12</f>
        <v>#N/A</v>
      </c>
    </row>
    <row r="47" spans="1:8" x14ac:dyDescent="0.25">
      <c r="A47" s="75"/>
      <c r="B47" s="76"/>
      <c r="C47" s="77"/>
      <c r="D47" s="78"/>
      <c r="E47" s="79"/>
      <c r="F47" s="79"/>
      <c r="G47" s="53" t="e" cm="1">
        <f t="array" ref="G47">_xlfn.IFS(Operations18677277828792971021071121171241291341391441491541595297222732374247[[#This Row],[Unit]]="Program-wide",((_xlfn.IFS(Operations18677277828792971021071121171241291341391441491541595297222732374247[[#This Row],[Frequency]]="Per Year",Operations18677277828792971021071121171241291341391441491541595297222732374247[[#This Row],[Cost]]/12,Operations18677277828792971021071121171241291341391441491541595297222732374247[[#This Row],[Frequency]]="Per month",Operations18677277828792971021071121171241291341391441491541595297222732374247[[#This Row],[Cost]],Operations18677277828792971021071121171241291341391441491541595297222732374247[[#This Row],[Frequency]]="Per day",Operations18677277828792971021071121171241291341391441491541595297222732374247[[#This Row],[Cost]]*30,Operations18677277828792971021071121171241291341391441491541595297222732374247[[#This Row],[Frequency]]="One-time",Operations18677277828792971021071121171241291341391441491541595297222732374247[[#This Row],[Cost]]/SUM($C$18,$C$19)))/$C$17),Operations18677277828792971021071121171241291341391441491541595297222732374247[[#This Row],[Unit]]="Per unit/space/household",(_xlfn.IFS(Operations18677277828792971021071121171241291341391441491541595297222732374247[[#This Row],[Frequency]]="Per Year",Operations18677277828792971021071121171241291341391441491541595297222732374247[[#This Row],[Cost]]/12,Operations18677277828792971021071121171241291341391441491541595297222732374247[[#This Row],[Frequency]]="Per month",Operations18677277828792971021071121171241291341391441491541595297222732374247[[#This Row],[Cost]],Operations18677277828792971021071121171241291341391441491541595297222732374247[[#This Row],[Frequency]]="Per day",Operations18677277828792971021071121171241291341391441491541595297222732374247[[#This Row],[Cost]]*30,Operations18677277828792971021071121171241291341391441491541595297222732374247[[#This Row],[Frequency]]="One-time",Operations18677277828792971021071121171241291341391441491541595297222732374247[[#This Row],[Cost]]/SUM($C$18,$C$19))))</f>
        <v>#N/A</v>
      </c>
      <c r="H47" s="46" t="e">
        <f>Operations18677277828792971021071121171241291341391441491541595297222732374247[[#This Row],[Monthly Cost Per Unit]]*12</f>
        <v>#N/A</v>
      </c>
    </row>
    <row r="48" spans="1:8" x14ac:dyDescent="0.25">
      <c r="A48" s="75"/>
      <c r="B48" s="76"/>
      <c r="C48" s="77"/>
      <c r="D48" s="78"/>
      <c r="E48" s="79"/>
      <c r="F48" s="79"/>
      <c r="G48" s="53" t="e" cm="1">
        <f t="array" ref="G48">_xlfn.IFS(Operations18677277828792971021071121171241291341391441491541595297222732374247[[#This Row],[Unit]]="Program-wide",((_xlfn.IFS(Operations18677277828792971021071121171241291341391441491541595297222732374247[[#This Row],[Frequency]]="Per Year",Operations18677277828792971021071121171241291341391441491541595297222732374247[[#This Row],[Cost]]/12,Operations18677277828792971021071121171241291341391441491541595297222732374247[[#This Row],[Frequency]]="Per month",Operations18677277828792971021071121171241291341391441491541595297222732374247[[#This Row],[Cost]],Operations18677277828792971021071121171241291341391441491541595297222732374247[[#This Row],[Frequency]]="Per day",Operations18677277828792971021071121171241291341391441491541595297222732374247[[#This Row],[Cost]]*30,Operations18677277828792971021071121171241291341391441491541595297222732374247[[#This Row],[Frequency]]="One-time",Operations18677277828792971021071121171241291341391441491541595297222732374247[[#This Row],[Cost]]/SUM($C$18,$C$19)))/$C$17),Operations18677277828792971021071121171241291341391441491541595297222732374247[[#This Row],[Unit]]="Per unit/space/household",(_xlfn.IFS(Operations18677277828792971021071121171241291341391441491541595297222732374247[[#This Row],[Frequency]]="Per Year",Operations18677277828792971021071121171241291341391441491541595297222732374247[[#This Row],[Cost]]/12,Operations18677277828792971021071121171241291341391441491541595297222732374247[[#This Row],[Frequency]]="Per month",Operations18677277828792971021071121171241291341391441491541595297222732374247[[#This Row],[Cost]],Operations18677277828792971021071121171241291341391441491541595297222732374247[[#This Row],[Frequency]]="Per day",Operations18677277828792971021071121171241291341391441491541595297222732374247[[#This Row],[Cost]]*30,Operations18677277828792971021071121171241291341391441491541595297222732374247[[#This Row],[Frequency]]="One-time",Operations18677277828792971021071121171241291341391441491541595297222732374247[[#This Row],[Cost]]/SUM($C$18,$C$19))))</f>
        <v>#N/A</v>
      </c>
      <c r="H48" s="46" t="e">
        <f>Operations18677277828792971021071121171241291341391441491541595297222732374247[[#This Row],[Monthly Cost Per Unit]]*12</f>
        <v>#N/A</v>
      </c>
    </row>
    <row r="49" spans="1:9" x14ac:dyDescent="0.25">
      <c r="A49" s="75"/>
      <c r="B49" s="76"/>
      <c r="C49" s="77"/>
      <c r="D49" s="78"/>
      <c r="E49" s="79"/>
      <c r="F49" s="79"/>
      <c r="G49" s="53" t="e" cm="1">
        <f t="array" ref="G49">_xlfn.IFS(Operations18677277828792971021071121171241291341391441491541595297222732374247[[#This Row],[Unit]]="Program-wide",((_xlfn.IFS(Operations18677277828792971021071121171241291341391441491541595297222732374247[[#This Row],[Frequency]]="Per Year",Operations18677277828792971021071121171241291341391441491541595297222732374247[[#This Row],[Cost]]/12,Operations18677277828792971021071121171241291341391441491541595297222732374247[[#This Row],[Frequency]]="Per month",Operations18677277828792971021071121171241291341391441491541595297222732374247[[#This Row],[Cost]],Operations18677277828792971021071121171241291341391441491541595297222732374247[[#This Row],[Frequency]]="Per day",Operations18677277828792971021071121171241291341391441491541595297222732374247[[#This Row],[Cost]]*30,Operations18677277828792971021071121171241291341391441491541595297222732374247[[#This Row],[Frequency]]="One-time",Operations18677277828792971021071121171241291341391441491541595297222732374247[[#This Row],[Cost]]/SUM($C$18,$C$19)))/$C$17),Operations18677277828792971021071121171241291341391441491541595297222732374247[[#This Row],[Unit]]="Per unit/space/household",(_xlfn.IFS(Operations18677277828792971021071121171241291341391441491541595297222732374247[[#This Row],[Frequency]]="Per Year",Operations18677277828792971021071121171241291341391441491541595297222732374247[[#This Row],[Cost]]/12,Operations18677277828792971021071121171241291341391441491541595297222732374247[[#This Row],[Frequency]]="Per month",Operations18677277828792971021071121171241291341391441491541595297222732374247[[#This Row],[Cost]],Operations18677277828792971021071121171241291341391441491541595297222732374247[[#This Row],[Frequency]]="Per day",Operations18677277828792971021071121171241291341391441491541595297222732374247[[#This Row],[Cost]]*30,Operations18677277828792971021071121171241291341391441491541595297222732374247[[#This Row],[Frequency]]="One-time",Operations18677277828792971021071121171241291341391441491541595297222732374247[[#This Row],[Cost]]/SUM($C$18,$C$19))))</f>
        <v>#N/A</v>
      </c>
      <c r="H49" s="46" t="e">
        <f>Operations18677277828792971021071121171241291341391441491541595297222732374247[[#This Row],[Monthly Cost Per Unit]]*12</f>
        <v>#N/A</v>
      </c>
    </row>
    <row r="50" spans="1:9" x14ac:dyDescent="0.25">
      <c r="A50" s="75"/>
      <c r="B50" s="76"/>
      <c r="C50" s="77"/>
      <c r="D50" s="78"/>
      <c r="E50" s="79"/>
      <c r="F50" s="79"/>
      <c r="G50" s="53" t="e" cm="1">
        <f t="array" ref="G50">_xlfn.IFS(Operations18677277828792971021071121171241291341391441491541595297222732374247[[#This Row],[Unit]]="Program-wide",((_xlfn.IFS(Operations18677277828792971021071121171241291341391441491541595297222732374247[[#This Row],[Frequency]]="Per Year",Operations18677277828792971021071121171241291341391441491541595297222732374247[[#This Row],[Cost]]/12,Operations18677277828792971021071121171241291341391441491541595297222732374247[[#This Row],[Frequency]]="Per month",Operations18677277828792971021071121171241291341391441491541595297222732374247[[#This Row],[Cost]],Operations18677277828792971021071121171241291341391441491541595297222732374247[[#This Row],[Frequency]]="Per day",Operations18677277828792971021071121171241291341391441491541595297222732374247[[#This Row],[Cost]]*30,Operations18677277828792971021071121171241291341391441491541595297222732374247[[#This Row],[Frequency]]="One-time",Operations18677277828792971021071121171241291341391441491541595297222732374247[[#This Row],[Cost]]/SUM($C$18,$C$19)))/$C$17),Operations18677277828792971021071121171241291341391441491541595297222732374247[[#This Row],[Unit]]="Per unit/space/household",(_xlfn.IFS(Operations18677277828792971021071121171241291341391441491541595297222732374247[[#This Row],[Frequency]]="Per Year",Operations18677277828792971021071121171241291341391441491541595297222732374247[[#This Row],[Cost]]/12,Operations18677277828792971021071121171241291341391441491541595297222732374247[[#This Row],[Frequency]]="Per month",Operations18677277828792971021071121171241291341391441491541595297222732374247[[#This Row],[Cost]],Operations18677277828792971021071121171241291341391441491541595297222732374247[[#This Row],[Frequency]]="Per day",Operations18677277828792971021071121171241291341391441491541595297222732374247[[#This Row],[Cost]]*30,Operations18677277828792971021071121171241291341391441491541595297222732374247[[#This Row],[Frequency]]="One-time",Operations18677277828792971021071121171241291341391441491541595297222732374247[[#This Row],[Cost]]/SUM($C$18,$C$19))))</f>
        <v>#N/A</v>
      </c>
      <c r="H50" s="46" t="e">
        <f>Operations18677277828792971021071121171241291341391441491541595297222732374247[[#This Row],[Monthly Cost Per Unit]]*12</f>
        <v>#N/A</v>
      </c>
    </row>
    <row r="51" spans="1:9" x14ac:dyDescent="0.25">
      <c r="A51" s="75"/>
      <c r="B51" s="76"/>
      <c r="C51" s="77"/>
      <c r="D51" s="78"/>
      <c r="E51" s="79"/>
      <c r="F51" s="79"/>
      <c r="G51" s="53" t="e" cm="1">
        <f t="array" ref="G51">_xlfn.IFS(Operations18677277828792971021071121171241291341391441491541595297222732374247[[#This Row],[Unit]]="Program-wide",((_xlfn.IFS(Operations18677277828792971021071121171241291341391441491541595297222732374247[[#This Row],[Frequency]]="Per Year",Operations18677277828792971021071121171241291341391441491541595297222732374247[[#This Row],[Cost]]/12,Operations18677277828792971021071121171241291341391441491541595297222732374247[[#This Row],[Frequency]]="Per month",Operations18677277828792971021071121171241291341391441491541595297222732374247[[#This Row],[Cost]],Operations18677277828792971021071121171241291341391441491541595297222732374247[[#This Row],[Frequency]]="Per day",Operations18677277828792971021071121171241291341391441491541595297222732374247[[#This Row],[Cost]]*30,Operations18677277828792971021071121171241291341391441491541595297222732374247[[#This Row],[Frequency]]="One-time",Operations18677277828792971021071121171241291341391441491541595297222732374247[[#This Row],[Cost]]/SUM($C$18,$C$19)))/$C$17),Operations18677277828792971021071121171241291341391441491541595297222732374247[[#This Row],[Unit]]="Per unit/space/household",(_xlfn.IFS(Operations18677277828792971021071121171241291341391441491541595297222732374247[[#This Row],[Frequency]]="Per Year",Operations18677277828792971021071121171241291341391441491541595297222732374247[[#This Row],[Cost]]/12,Operations18677277828792971021071121171241291341391441491541595297222732374247[[#This Row],[Frequency]]="Per month",Operations18677277828792971021071121171241291341391441491541595297222732374247[[#This Row],[Cost]],Operations18677277828792971021071121171241291341391441491541595297222732374247[[#This Row],[Frequency]]="Per day",Operations18677277828792971021071121171241291341391441491541595297222732374247[[#This Row],[Cost]]*30,Operations18677277828792971021071121171241291341391441491541595297222732374247[[#This Row],[Frequency]]="One-time",Operations18677277828792971021071121171241291341391441491541595297222732374247[[#This Row],[Cost]]/SUM($C$18,$C$19))))</f>
        <v>#N/A</v>
      </c>
      <c r="H51" s="46" t="e">
        <f>Operations18677277828792971021071121171241291341391441491541595297222732374247[[#This Row],[Monthly Cost Per Unit]]*12</f>
        <v>#N/A</v>
      </c>
    </row>
    <row r="52" spans="1:9" x14ac:dyDescent="0.25">
      <c r="A52" s="75"/>
      <c r="B52" s="76"/>
      <c r="C52" s="77"/>
      <c r="D52" s="78"/>
      <c r="E52" s="79"/>
      <c r="F52" s="79"/>
      <c r="G52" s="55" t="e" cm="1">
        <f t="array" ref="G52">_xlfn.IFS(Operations18677277828792971021071121171241291341391441491541595297222732374247[[#This Row],[Unit]]="Program-wide",((_xlfn.IFS(Operations18677277828792971021071121171241291341391441491541595297222732374247[[#This Row],[Frequency]]="Per Year",Operations18677277828792971021071121171241291341391441491541595297222732374247[[#This Row],[Cost]]/12,Operations18677277828792971021071121171241291341391441491541595297222732374247[[#This Row],[Frequency]]="Per month",Operations18677277828792971021071121171241291341391441491541595297222732374247[[#This Row],[Cost]],Operations18677277828792971021071121171241291341391441491541595297222732374247[[#This Row],[Frequency]]="Per day",Operations18677277828792971021071121171241291341391441491541595297222732374247[[#This Row],[Cost]]*30,Operations18677277828792971021071121171241291341391441491541595297222732374247[[#This Row],[Frequency]]="One-time",Operations18677277828792971021071121171241291341391441491541595297222732374247[[#This Row],[Cost]]/SUM($C$18,$C$19)))/$C$17),Operations18677277828792971021071121171241291341391441491541595297222732374247[[#This Row],[Unit]]="Per unit/space/household",(_xlfn.IFS(Operations18677277828792971021071121171241291341391441491541595297222732374247[[#This Row],[Frequency]]="Per Year",Operations18677277828792971021071121171241291341391441491541595297222732374247[[#This Row],[Cost]]/12,Operations18677277828792971021071121171241291341391441491541595297222732374247[[#This Row],[Frequency]]="Per month",Operations18677277828792971021071121171241291341391441491541595297222732374247[[#This Row],[Cost]],Operations18677277828792971021071121171241291341391441491541595297222732374247[[#This Row],[Frequency]]="Per day",Operations18677277828792971021071121171241291341391441491541595297222732374247[[#This Row],[Cost]]*30,Operations18677277828792971021071121171241291341391441491541595297222732374247[[#This Row],[Frequency]]="One-time",Operations18677277828792971021071121171241291341391441491541595297222732374247[[#This Row],[Cost]]/SUM($C$18,$C$19))))</f>
        <v>#N/A</v>
      </c>
      <c r="H52" s="46" t="e">
        <f>Operations18677277828792971021071121171241291341391441491541595297222732374247[[#This Row],[Monthly Cost Per Unit]]*12</f>
        <v>#N/A</v>
      </c>
    </row>
    <row r="53" spans="1:9" x14ac:dyDescent="0.25">
      <c r="A53" s="107" t="s">
        <v>20</v>
      </c>
      <c r="B53" s="107"/>
      <c r="C53" s="108" t="s">
        <v>68</v>
      </c>
      <c r="D53" s="109"/>
      <c r="E53" s="108"/>
      <c r="F53" s="108"/>
      <c r="G53" s="118"/>
      <c r="H53" s="111">
        <f>(SUMIF(Operations18677277828792971021071121171241291341391441491541595297222732374247[Duration],"While homeless only",Operations18677277828792971021071121171241291341391441491541595297222732374247[Monthly Cost Per Unit]))*12</f>
        <v>0</v>
      </c>
    </row>
    <row r="54" spans="1:9" x14ac:dyDescent="0.25">
      <c r="A54" s="112"/>
      <c r="B54" s="112"/>
      <c r="C54" s="108" t="s">
        <v>63</v>
      </c>
      <c r="D54" s="109"/>
      <c r="E54" s="108"/>
      <c r="F54" s="108"/>
      <c r="G54" s="111"/>
      <c r="H54" s="111">
        <f>(SUMIF(Operations18677277828792971021071121171241291341391441491541595297222732374247[Duration],"While housed only",Operations18677277828792971021071121171241291341391441491541595297222732374247[Monthly Cost Per Unit]))*12</f>
        <v>0</v>
      </c>
    </row>
    <row r="55" spans="1:9" x14ac:dyDescent="0.25">
      <c r="A55" s="112"/>
      <c r="B55" s="112"/>
      <c r="C55" s="108" t="s">
        <v>58</v>
      </c>
      <c r="D55" s="109"/>
      <c r="E55" s="108"/>
      <c r="F55" s="108"/>
      <c r="G55" s="111"/>
      <c r="H55" s="111">
        <f>(SUMIF(Operations18677277828792971021071121171241291341391441491541595297222732374247[Duration],"Homeless &amp; housed",Operations18677277828792971021071121171241291341391441491541595297222732374247[Monthly Cost Per Unit]))*12</f>
        <v>0</v>
      </c>
    </row>
    <row r="56" spans="1:9" ht="15.75" thickBot="1" x14ac:dyDescent="0.3">
      <c r="A56" s="113"/>
      <c r="B56" s="113"/>
      <c r="C56" s="114" t="s">
        <v>207</v>
      </c>
      <c r="D56" s="115"/>
      <c r="E56" s="114"/>
      <c r="F56" s="114"/>
      <c r="G56" s="117"/>
      <c r="H56" s="117">
        <f>(SUMIF(Operations18677277828792971021071121171241291341391441491541595297222732374247[Duration],"N/A",Operations18677277828792971021071121171241291341391441491541595297222732374247[Monthly Cost Per Unit]))*12</f>
        <v>0</v>
      </c>
    </row>
    <row r="57" spans="1:9" ht="16.5" thickTop="1" thickBot="1" x14ac:dyDescent="0.3">
      <c r="A57" s="113"/>
      <c r="B57" s="113"/>
      <c r="C57" s="114" t="s">
        <v>42</v>
      </c>
      <c r="D57" s="115"/>
      <c r="E57" s="114"/>
      <c r="F57" s="114"/>
      <c r="G57" s="117"/>
      <c r="H57" s="117">
        <f>SUM(H53:H56)</f>
        <v>0</v>
      </c>
    </row>
    <row r="58" spans="1:9" ht="15.75" thickTop="1" x14ac:dyDescent="0.25">
      <c r="A58" s="134"/>
      <c r="B58" s="134"/>
      <c r="C58" s="135"/>
      <c r="D58" s="136"/>
      <c r="E58" s="137"/>
      <c r="F58" s="137"/>
      <c r="G58" s="138"/>
    </row>
    <row r="59" spans="1:9" x14ac:dyDescent="0.25">
      <c r="A59" s="274" t="s">
        <v>69</v>
      </c>
      <c r="B59" s="274"/>
      <c r="C59" s="274"/>
      <c r="D59" s="274"/>
      <c r="E59" s="274"/>
      <c r="F59" s="274"/>
      <c r="G59" s="274"/>
      <c r="H59" s="274"/>
      <c r="I59" s="129"/>
    </row>
    <row r="60" spans="1:9" ht="27.95" customHeight="1" outlineLevel="1" x14ac:dyDescent="0.25">
      <c r="A60" s="281" t="s">
        <v>108</v>
      </c>
      <c r="B60" s="281"/>
      <c r="C60" s="281"/>
      <c r="D60" s="281"/>
      <c r="E60" s="281"/>
      <c r="F60" s="281"/>
      <c r="G60" s="281"/>
      <c r="H60" s="281"/>
      <c r="I60" s="129"/>
    </row>
    <row r="61" spans="1:9" ht="18" customHeight="1" outlineLevel="1" x14ac:dyDescent="0.25">
      <c r="A61" s="279" t="s">
        <v>70</v>
      </c>
      <c r="B61" s="279"/>
      <c r="C61" s="279"/>
      <c r="D61" s="279"/>
      <c r="E61" s="279"/>
      <c r="F61" s="279"/>
      <c r="G61" s="92"/>
      <c r="H61" s="10"/>
      <c r="I61" s="129"/>
    </row>
    <row r="62" spans="1:9" ht="45" customHeight="1" outlineLevel="1" x14ac:dyDescent="0.25">
      <c r="A62" s="278" t="s">
        <v>118</v>
      </c>
      <c r="B62" s="278"/>
      <c r="C62" s="278"/>
      <c r="D62" s="278"/>
      <c r="E62" s="278"/>
      <c r="F62" s="278"/>
      <c r="G62" s="92"/>
      <c r="H62" s="10"/>
      <c r="I62" s="129"/>
    </row>
    <row r="63" spans="1:9" ht="60.75" thickBot="1" x14ac:dyDescent="0.3">
      <c r="A63" s="128"/>
      <c r="B63" t="s">
        <v>71</v>
      </c>
      <c r="C63" s="11" t="s">
        <v>72</v>
      </c>
      <c r="D63" s="11" t="s">
        <v>73</v>
      </c>
      <c r="E63" s="11" t="s">
        <v>74</v>
      </c>
      <c r="F63" s="31" t="s">
        <v>75</v>
      </c>
      <c r="G63" s="10"/>
    </row>
    <row r="64" spans="1:9" ht="16.5" thickTop="1" thickBot="1" x14ac:dyDescent="0.3">
      <c r="A64" s="139" t="s">
        <v>76</v>
      </c>
      <c r="B64" s="90">
        <v>0</v>
      </c>
      <c r="C64" s="91">
        <v>0</v>
      </c>
      <c r="D64" s="91">
        <v>0</v>
      </c>
      <c r="E64" s="91">
        <v>0</v>
      </c>
      <c r="F64" s="140">
        <f>SUM(D64:E64)</f>
        <v>0</v>
      </c>
      <c r="G64" s="10"/>
    </row>
    <row r="65" spans="1:9" s="3" customFormat="1" ht="16.5" thickTop="1" thickBot="1" x14ac:dyDescent="0.3">
      <c r="A65" s="139" t="s">
        <v>77</v>
      </c>
      <c r="B65" s="90">
        <v>0</v>
      </c>
      <c r="C65" s="91">
        <v>0</v>
      </c>
      <c r="D65" s="91">
        <v>0</v>
      </c>
      <c r="E65" s="91">
        <v>0</v>
      </c>
      <c r="F65" s="140">
        <f t="shared" ref="F65:F71" si="0">SUM(D65:E65)</f>
        <v>0</v>
      </c>
      <c r="G65" s="10"/>
    </row>
    <row r="66" spans="1:9" ht="16.5" thickTop="1" thickBot="1" x14ac:dyDescent="0.3">
      <c r="A66" s="139" t="s">
        <v>78</v>
      </c>
      <c r="B66" s="90">
        <v>0</v>
      </c>
      <c r="C66" s="91">
        <v>0</v>
      </c>
      <c r="D66" s="91">
        <v>0</v>
      </c>
      <c r="E66" s="91">
        <v>0</v>
      </c>
      <c r="F66" s="140">
        <f t="shared" si="0"/>
        <v>0</v>
      </c>
      <c r="G66" s="10"/>
    </row>
    <row r="67" spans="1:9" ht="16.5" thickTop="1" thickBot="1" x14ac:dyDescent="0.3">
      <c r="A67" s="139" t="s">
        <v>79</v>
      </c>
      <c r="B67" s="90">
        <v>0</v>
      </c>
      <c r="C67" s="91">
        <v>0</v>
      </c>
      <c r="D67" s="91">
        <v>0</v>
      </c>
      <c r="E67" s="91">
        <v>0</v>
      </c>
      <c r="F67" s="140">
        <f t="shared" si="0"/>
        <v>0</v>
      </c>
      <c r="G67" s="10"/>
    </row>
    <row r="68" spans="1:9" ht="16.5" thickTop="1" thickBot="1" x14ac:dyDescent="0.3">
      <c r="A68" s="139" t="s">
        <v>80</v>
      </c>
      <c r="B68" s="90">
        <v>0</v>
      </c>
      <c r="C68" s="91">
        <v>0</v>
      </c>
      <c r="D68" s="91">
        <v>0</v>
      </c>
      <c r="E68" s="91">
        <v>0</v>
      </c>
      <c r="F68" s="140">
        <f t="shared" si="0"/>
        <v>0</v>
      </c>
      <c r="G68" s="10"/>
    </row>
    <row r="69" spans="1:9" ht="16.5" thickTop="1" thickBot="1" x14ac:dyDescent="0.3">
      <c r="A69" s="139" t="s">
        <v>81</v>
      </c>
      <c r="B69" s="90">
        <v>0</v>
      </c>
      <c r="C69" s="91">
        <v>0</v>
      </c>
      <c r="D69" s="91">
        <v>0</v>
      </c>
      <c r="E69" s="91">
        <v>0</v>
      </c>
      <c r="F69" s="140">
        <f t="shared" si="0"/>
        <v>0</v>
      </c>
      <c r="G69" s="10"/>
    </row>
    <row r="70" spans="1:9" ht="16.5" thickTop="1" thickBot="1" x14ac:dyDescent="0.3">
      <c r="A70" s="139" t="s">
        <v>82</v>
      </c>
      <c r="B70" s="90">
        <v>0</v>
      </c>
      <c r="C70" s="91">
        <v>0</v>
      </c>
      <c r="D70" s="91">
        <v>0</v>
      </c>
      <c r="E70" s="91">
        <v>0</v>
      </c>
      <c r="F70" s="140">
        <f t="shared" si="0"/>
        <v>0</v>
      </c>
      <c r="G70" s="10"/>
    </row>
    <row r="71" spans="1:9" ht="16.5" thickTop="1" thickBot="1" x14ac:dyDescent="0.3">
      <c r="A71" s="139" t="s">
        <v>83</v>
      </c>
      <c r="B71" s="90">
        <v>0</v>
      </c>
      <c r="C71" s="91">
        <v>0</v>
      </c>
      <c r="D71" s="91">
        <v>0</v>
      </c>
      <c r="E71" s="91">
        <v>0</v>
      </c>
      <c r="F71" s="140">
        <f t="shared" si="0"/>
        <v>0</v>
      </c>
      <c r="G71" s="10"/>
    </row>
    <row r="72" spans="1:9" ht="15.75" thickTop="1" x14ac:dyDescent="0.25">
      <c r="A72" s="141" t="s">
        <v>21</v>
      </c>
      <c r="C72" s="142" t="e">
        <f>SUM((C64*B64),(C65*B65),(C66*B66),(C67*B67),(C68*B68),(C69*B69),(C70*B70),(C71*B71))/(SUM(B64:B71))</f>
        <v>#DIV/0!</v>
      </c>
      <c r="D72" s="142" t="e">
        <f>SUM((D64*B64),(D65*B65),(D66*B66),(D67*B67),(D68*B68),(D69*B69),(D70*B70),(D71*B71))/(SUM(B64:B71))</f>
        <v>#DIV/0!</v>
      </c>
      <c r="E72" s="142" t="e">
        <f>SUM((E64*B64),(E65*B65),(E66*B66),(E67*B67),(E68*B68),(E69*B69),(E70*B70),(E71*B71))/(SUM(B64:B71))</f>
        <v>#DIV/0!</v>
      </c>
      <c r="F72" s="143" t="e">
        <f>SUM((F64*B64),(F65*B65),(F66*B66),(F67*B67),(F68*B68),(F69*B69),(F70*B70),(F71*B71))/(SUM(B64:B71))</f>
        <v>#DIV/0!</v>
      </c>
      <c r="G72" s="10"/>
    </row>
    <row r="73" spans="1:9" x14ac:dyDescent="0.25">
      <c r="A73" s="144"/>
      <c r="B73" s="145"/>
      <c r="C73" s="145"/>
      <c r="E73" s="10"/>
      <c r="F73" s="10"/>
      <c r="G73" s="129"/>
    </row>
    <row r="74" spans="1:9" x14ac:dyDescent="0.25">
      <c r="A74" s="279" t="s">
        <v>84</v>
      </c>
      <c r="B74" s="279"/>
      <c r="C74" s="279"/>
      <c r="D74" s="279"/>
      <c r="E74" s="279"/>
      <c r="F74" s="279"/>
      <c r="G74" s="279"/>
      <c r="H74" s="279"/>
    </row>
    <row r="75" spans="1:9" s="1" customFormat="1" ht="50.25" customHeight="1" outlineLevel="1" x14ac:dyDescent="0.25">
      <c r="A75" s="278" t="s">
        <v>119</v>
      </c>
      <c r="B75" s="278"/>
      <c r="C75" s="278"/>
      <c r="D75" s="278"/>
      <c r="E75" s="278"/>
      <c r="F75" s="278"/>
      <c r="G75" s="278"/>
      <c r="H75" s="278"/>
      <c r="I75"/>
    </row>
    <row r="76" spans="1:9" s="3" customFormat="1" ht="28.35" customHeight="1" x14ac:dyDescent="0.25">
      <c r="A76" s="131" t="s">
        <v>51</v>
      </c>
      <c r="B76" s="131" t="s">
        <v>52</v>
      </c>
      <c r="C76" s="131" t="s">
        <v>53</v>
      </c>
      <c r="D76" s="131" t="s">
        <v>54</v>
      </c>
      <c r="E76" s="131" t="s">
        <v>55</v>
      </c>
      <c r="F76" s="131" t="s">
        <v>56</v>
      </c>
      <c r="G76" s="131" t="s">
        <v>57</v>
      </c>
      <c r="H76" s="132" t="s">
        <v>20</v>
      </c>
    </row>
    <row r="77" spans="1:9" x14ac:dyDescent="0.25">
      <c r="A77" s="75"/>
      <c r="B77" s="75"/>
      <c r="C77" s="77"/>
      <c r="D77" s="78"/>
      <c r="E77" s="79"/>
      <c r="F77" s="79"/>
      <c r="G77" s="53" t="e" cm="1">
        <f t="array" ref="G77">_xlfn.IFS(RentalAssistance19687378838893981031081131181251301351401451501551605398232833384348[[#This Row],[Unit]]="Program-wide",((_xlfn.IFS(RentalAssistance19687378838893981031081131181251301351401451501551605398232833384348[[#This Row],[Frequency]]="Per Year",RentalAssistance19687378838893981031081131181251301351401451501551605398232833384348[[#This Row],[Cost]]/12,RentalAssistance19687378838893981031081131181251301351401451501551605398232833384348[[#This Row],[Frequency]]="Per month",RentalAssistance19687378838893981031081131181251301351401451501551605398232833384348[[#This Row],[Cost]],RentalAssistance19687378838893981031081131181251301351401451501551605398232833384348[[#This Row],[Frequency]]="Per day",RentalAssistance19687378838893981031081131181251301351401451501551605398232833384348[[#This Row],[Cost]]*30,RentalAssistance19687378838893981031081131181251301351401451501551605398232833384348[[#This Row],[Frequency]]="One-time",RentalAssistance19687378838893981031081131181251301351401451501551605398232833384348[[#This Row],[Cost]]/SUM($C$18,$C$19)))/$C$17),RentalAssistance19687378838893981031081131181251301351401451501551605398232833384348[[#This Row],[Unit]]="Per unit/space/household",(_xlfn.IFS(RentalAssistance19687378838893981031081131181251301351401451501551605398232833384348[[#This Row],[Frequency]]="Per Year",RentalAssistance19687378838893981031081131181251301351401451501551605398232833384348[[#This Row],[Cost]]/12,RentalAssistance19687378838893981031081131181251301351401451501551605398232833384348[[#This Row],[Frequency]]="Per month",RentalAssistance19687378838893981031081131181251301351401451501551605398232833384348[[#This Row],[Cost]],RentalAssistance19687378838893981031081131181251301351401451501551605398232833384348[[#This Row],[Frequency]]="Per day",RentalAssistance19687378838893981031081131181251301351401451501551605398232833384348[[#This Row],[Cost]]*30,RentalAssistance19687378838893981031081131181251301351401451501551605398232833384348[[#This Row],[Frequency]]="One-time",RentalAssistance19687378838893981031081131181251301351401451501551605398232833384348[[#This Row],[Cost]]/SUM($C$18,$C$19))))</f>
        <v>#N/A</v>
      </c>
      <c r="H77" s="46" t="e">
        <f>RentalAssistance19687378838893981031081131181251301351401451501551605398232833384348[[#This Row],[Monthly Cost Per Unit]]*12</f>
        <v>#N/A</v>
      </c>
    </row>
    <row r="78" spans="1:9" x14ac:dyDescent="0.25">
      <c r="A78" s="75"/>
      <c r="B78" s="75"/>
      <c r="C78" s="77"/>
      <c r="D78" s="78"/>
      <c r="E78" s="79"/>
      <c r="F78" s="79"/>
      <c r="G78" s="53" t="e" cm="1">
        <f t="array" ref="G78">_xlfn.IFS(RentalAssistance19687378838893981031081131181251301351401451501551605398232833384348[[#This Row],[Unit]]="Program-wide",((_xlfn.IFS(RentalAssistance19687378838893981031081131181251301351401451501551605398232833384348[[#This Row],[Frequency]]="Per Year",RentalAssistance19687378838893981031081131181251301351401451501551605398232833384348[[#This Row],[Cost]]/12,RentalAssistance19687378838893981031081131181251301351401451501551605398232833384348[[#This Row],[Frequency]]="Per month",RentalAssistance19687378838893981031081131181251301351401451501551605398232833384348[[#This Row],[Cost]],RentalAssistance19687378838893981031081131181251301351401451501551605398232833384348[[#This Row],[Frequency]]="Per day",RentalAssistance19687378838893981031081131181251301351401451501551605398232833384348[[#This Row],[Cost]]*30,RentalAssistance19687378838893981031081131181251301351401451501551605398232833384348[[#This Row],[Frequency]]="One-time",RentalAssistance19687378838893981031081131181251301351401451501551605398232833384348[[#This Row],[Cost]]/SUM($C$18,$C$19)))/$C$17),RentalAssistance19687378838893981031081131181251301351401451501551605398232833384348[[#This Row],[Unit]]="Per unit/space/household",(_xlfn.IFS(RentalAssistance19687378838893981031081131181251301351401451501551605398232833384348[[#This Row],[Frequency]]="Per Year",RentalAssistance19687378838893981031081131181251301351401451501551605398232833384348[[#This Row],[Cost]]/12,RentalAssistance19687378838893981031081131181251301351401451501551605398232833384348[[#This Row],[Frequency]]="Per month",RentalAssistance19687378838893981031081131181251301351401451501551605398232833384348[[#This Row],[Cost]],RentalAssistance19687378838893981031081131181251301351401451501551605398232833384348[[#This Row],[Frequency]]="Per day",RentalAssistance19687378838893981031081131181251301351401451501551605398232833384348[[#This Row],[Cost]]*30,RentalAssistance19687378838893981031081131181251301351401451501551605398232833384348[[#This Row],[Frequency]]="One-time",RentalAssistance19687378838893981031081131181251301351401451501551605398232833384348[[#This Row],[Cost]]/SUM($C$18,$C$19))))</f>
        <v>#N/A</v>
      </c>
      <c r="H78" s="46" t="e">
        <f>RentalAssistance19687378838893981031081131181251301351401451501551605398232833384348[[#This Row],[Monthly Cost Per Unit]]*12</f>
        <v>#N/A</v>
      </c>
    </row>
    <row r="79" spans="1:9" x14ac:dyDescent="0.25">
      <c r="A79" s="75"/>
      <c r="B79" s="75"/>
      <c r="C79" s="77"/>
      <c r="D79" s="78"/>
      <c r="E79" s="79"/>
      <c r="F79" s="79"/>
      <c r="G79" s="53" t="e" cm="1">
        <f t="array" ref="G79">_xlfn.IFS(RentalAssistance19687378838893981031081131181251301351401451501551605398232833384348[[#This Row],[Unit]]="Program-wide",((_xlfn.IFS(RentalAssistance19687378838893981031081131181251301351401451501551605398232833384348[[#This Row],[Frequency]]="Per Year",RentalAssistance19687378838893981031081131181251301351401451501551605398232833384348[[#This Row],[Cost]]/12,RentalAssistance19687378838893981031081131181251301351401451501551605398232833384348[[#This Row],[Frequency]]="Per month",RentalAssistance19687378838893981031081131181251301351401451501551605398232833384348[[#This Row],[Cost]],RentalAssistance19687378838893981031081131181251301351401451501551605398232833384348[[#This Row],[Frequency]]="Per day",RentalAssistance19687378838893981031081131181251301351401451501551605398232833384348[[#This Row],[Cost]]*30,RentalAssistance19687378838893981031081131181251301351401451501551605398232833384348[[#This Row],[Frequency]]="One-time",RentalAssistance19687378838893981031081131181251301351401451501551605398232833384348[[#This Row],[Cost]]/SUM($C$18,$C$19)))/$C$17),RentalAssistance19687378838893981031081131181251301351401451501551605398232833384348[[#This Row],[Unit]]="Per unit/space/household",(_xlfn.IFS(RentalAssistance19687378838893981031081131181251301351401451501551605398232833384348[[#This Row],[Frequency]]="Per Year",RentalAssistance19687378838893981031081131181251301351401451501551605398232833384348[[#This Row],[Cost]]/12,RentalAssistance19687378838893981031081131181251301351401451501551605398232833384348[[#This Row],[Frequency]]="Per month",RentalAssistance19687378838893981031081131181251301351401451501551605398232833384348[[#This Row],[Cost]],RentalAssistance19687378838893981031081131181251301351401451501551605398232833384348[[#This Row],[Frequency]]="Per day",RentalAssistance19687378838893981031081131181251301351401451501551605398232833384348[[#This Row],[Cost]]*30,RentalAssistance19687378838893981031081131181251301351401451501551605398232833384348[[#This Row],[Frequency]]="One-time",RentalAssistance19687378838893981031081131181251301351401451501551605398232833384348[[#This Row],[Cost]]/SUM($C$18,$C$19))))</f>
        <v>#N/A</v>
      </c>
      <c r="H79" s="46" t="e">
        <f>RentalAssistance19687378838893981031081131181251301351401451501551605398232833384348[[#This Row],[Monthly Cost Per Unit]]*12</f>
        <v>#N/A</v>
      </c>
    </row>
    <row r="80" spans="1:9" x14ac:dyDescent="0.25">
      <c r="A80" s="75"/>
      <c r="B80" s="75"/>
      <c r="C80" s="77"/>
      <c r="D80" s="78"/>
      <c r="E80" s="79"/>
      <c r="F80" s="79"/>
      <c r="G80" s="53" t="e" cm="1">
        <f t="array" ref="G80">_xlfn.IFS(RentalAssistance19687378838893981031081131181251301351401451501551605398232833384348[[#This Row],[Unit]]="Program-wide",((_xlfn.IFS(RentalAssistance19687378838893981031081131181251301351401451501551605398232833384348[[#This Row],[Frequency]]="Per Year",RentalAssistance19687378838893981031081131181251301351401451501551605398232833384348[[#This Row],[Cost]]/12,RentalAssistance19687378838893981031081131181251301351401451501551605398232833384348[[#This Row],[Frequency]]="Per month",RentalAssistance19687378838893981031081131181251301351401451501551605398232833384348[[#This Row],[Cost]],RentalAssistance19687378838893981031081131181251301351401451501551605398232833384348[[#This Row],[Frequency]]="Per day",RentalAssistance19687378838893981031081131181251301351401451501551605398232833384348[[#This Row],[Cost]]*30,RentalAssistance19687378838893981031081131181251301351401451501551605398232833384348[[#This Row],[Frequency]]="One-time",RentalAssistance19687378838893981031081131181251301351401451501551605398232833384348[[#This Row],[Cost]]/SUM($C$18,$C$19)))/$C$17),RentalAssistance19687378838893981031081131181251301351401451501551605398232833384348[[#This Row],[Unit]]="Per unit/space/household",(_xlfn.IFS(RentalAssistance19687378838893981031081131181251301351401451501551605398232833384348[[#This Row],[Frequency]]="Per Year",RentalAssistance19687378838893981031081131181251301351401451501551605398232833384348[[#This Row],[Cost]]/12,RentalAssistance19687378838893981031081131181251301351401451501551605398232833384348[[#This Row],[Frequency]]="Per month",RentalAssistance19687378838893981031081131181251301351401451501551605398232833384348[[#This Row],[Cost]],RentalAssistance19687378838893981031081131181251301351401451501551605398232833384348[[#This Row],[Frequency]]="Per day",RentalAssistance19687378838893981031081131181251301351401451501551605398232833384348[[#This Row],[Cost]]*30,RentalAssistance19687378838893981031081131181251301351401451501551605398232833384348[[#This Row],[Frequency]]="One-time",RentalAssistance19687378838893981031081131181251301351401451501551605398232833384348[[#This Row],[Cost]]/SUM($C$18,$C$19))))</f>
        <v>#N/A</v>
      </c>
      <c r="H80" s="46" t="e">
        <f>RentalAssistance19687378838893981031081131181251301351401451501551605398232833384348[[#This Row],[Monthly Cost Per Unit]]*12</f>
        <v>#N/A</v>
      </c>
    </row>
    <row r="81" spans="1:8" x14ac:dyDescent="0.25">
      <c r="A81" s="75"/>
      <c r="B81" s="75"/>
      <c r="C81" s="77"/>
      <c r="D81" s="78"/>
      <c r="E81" s="79"/>
      <c r="F81" s="79"/>
      <c r="G81" s="53" t="e" cm="1">
        <f t="array" ref="G81">_xlfn.IFS(RentalAssistance19687378838893981031081131181251301351401451501551605398232833384348[[#This Row],[Unit]]="Program-wide",((_xlfn.IFS(RentalAssistance19687378838893981031081131181251301351401451501551605398232833384348[[#This Row],[Frequency]]="Per Year",RentalAssistance19687378838893981031081131181251301351401451501551605398232833384348[[#This Row],[Cost]]/12,RentalAssistance19687378838893981031081131181251301351401451501551605398232833384348[[#This Row],[Frequency]]="Per month",RentalAssistance19687378838893981031081131181251301351401451501551605398232833384348[[#This Row],[Cost]],RentalAssistance19687378838893981031081131181251301351401451501551605398232833384348[[#This Row],[Frequency]]="Per day",RentalAssistance19687378838893981031081131181251301351401451501551605398232833384348[[#This Row],[Cost]]*30,RentalAssistance19687378838893981031081131181251301351401451501551605398232833384348[[#This Row],[Frequency]]="One-time",RentalAssistance19687378838893981031081131181251301351401451501551605398232833384348[[#This Row],[Cost]]/SUM($C$18,$C$19)))/$C$17),RentalAssistance19687378838893981031081131181251301351401451501551605398232833384348[[#This Row],[Unit]]="Per unit/space/household",(_xlfn.IFS(RentalAssistance19687378838893981031081131181251301351401451501551605398232833384348[[#This Row],[Frequency]]="Per Year",RentalAssistance19687378838893981031081131181251301351401451501551605398232833384348[[#This Row],[Cost]]/12,RentalAssistance19687378838893981031081131181251301351401451501551605398232833384348[[#This Row],[Frequency]]="Per month",RentalAssistance19687378838893981031081131181251301351401451501551605398232833384348[[#This Row],[Cost]],RentalAssistance19687378838893981031081131181251301351401451501551605398232833384348[[#This Row],[Frequency]]="Per day",RentalAssistance19687378838893981031081131181251301351401451501551605398232833384348[[#This Row],[Cost]]*30,RentalAssistance19687378838893981031081131181251301351401451501551605398232833384348[[#This Row],[Frequency]]="One-time",RentalAssistance19687378838893981031081131181251301351401451501551605398232833384348[[#This Row],[Cost]]/SUM($C$18,$C$19))))</f>
        <v>#N/A</v>
      </c>
      <c r="H81" s="46" t="e">
        <f>RentalAssistance19687378838893981031081131181251301351401451501551605398232833384348[[#This Row],[Monthly Cost Per Unit]]*12</f>
        <v>#N/A</v>
      </c>
    </row>
    <row r="82" spans="1:8" x14ac:dyDescent="0.25">
      <c r="A82" s="75"/>
      <c r="B82" s="75"/>
      <c r="C82" s="77"/>
      <c r="D82" s="78"/>
      <c r="E82" s="79"/>
      <c r="F82" s="79"/>
      <c r="G82" s="53" t="e" cm="1">
        <f t="array" ref="G82">_xlfn.IFS(RentalAssistance19687378838893981031081131181251301351401451501551605398232833384348[[#This Row],[Unit]]="Program-wide",((_xlfn.IFS(RentalAssistance19687378838893981031081131181251301351401451501551605398232833384348[[#This Row],[Frequency]]="Per Year",RentalAssistance19687378838893981031081131181251301351401451501551605398232833384348[[#This Row],[Cost]]/12,RentalAssistance19687378838893981031081131181251301351401451501551605398232833384348[[#This Row],[Frequency]]="Per month",RentalAssistance19687378838893981031081131181251301351401451501551605398232833384348[[#This Row],[Cost]],RentalAssistance19687378838893981031081131181251301351401451501551605398232833384348[[#This Row],[Frequency]]="Per day",RentalAssistance19687378838893981031081131181251301351401451501551605398232833384348[[#This Row],[Cost]]*30,RentalAssistance19687378838893981031081131181251301351401451501551605398232833384348[[#This Row],[Frequency]]="One-time",RentalAssistance19687378838893981031081131181251301351401451501551605398232833384348[[#This Row],[Cost]]/SUM($C$18,$C$19)))/$C$17),RentalAssistance19687378838893981031081131181251301351401451501551605398232833384348[[#This Row],[Unit]]="Per unit/space/household",(_xlfn.IFS(RentalAssistance19687378838893981031081131181251301351401451501551605398232833384348[[#This Row],[Frequency]]="Per Year",RentalAssistance19687378838893981031081131181251301351401451501551605398232833384348[[#This Row],[Cost]]/12,RentalAssistance19687378838893981031081131181251301351401451501551605398232833384348[[#This Row],[Frequency]]="Per month",RentalAssistance19687378838893981031081131181251301351401451501551605398232833384348[[#This Row],[Cost]],RentalAssistance19687378838893981031081131181251301351401451501551605398232833384348[[#This Row],[Frequency]]="Per day",RentalAssistance19687378838893981031081131181251301351401451501551605398232833384348[[#This Row],[Cost]]*30,RentalAssistance19687378838893981031081131181251301351401451501551605398232833384348[[#This Row],[Frequency]]="One-time",RentalAssistance19687378838893981031081131181251301351401451501551605398232833384348[[#This Row],[Cost]]/SUM($C$18,$C$19))))</f>
        <v>#N/A</v>
      </c>
      <c r="H82" s="46" t="e">
        <f>RentalAssistance19687378838893981031081131181251301351401451501551605398232833384348[[#This Row],[Monthly Cost Per Unit]]*12</f>
        <v>#N/A</v>
      </c>
    </row>
    <row r="83" spans="1:8" x14ac:dyDescent="0.25">
      <c r="A83" s="75"/>
      <c r="B83" s="75"/>
      <c r="C83" s="77"/>
      <c r="D83" s="78"/>
      <c r="E83" s="79"/>
      <c r="F83" s="79"/>
      <c r="G83" s="53" t="e" cm="1">
        <f t="array" ref="G83">_xlfn.IFS(RentalAssistance19687378838893981031081131181251301351401451501551605398232833384348[[#This Row],[Unit]]="Program-wide",((_xlfn.IFS(RentalAssistance19687378838893981031081131181251301351401451501551605398232833384348[[#This Row],[Frequency]]="Per Year",RentalAssistance19687378838893981031081131181251301351401451501551605398232833384348[[#This Row],[Cost]]/12,RentalAssistance19687378838893981031081131181251301351401451501551605398232833384348[[#This Row],[Frequency]]="Per month",RentalAssistance19687378838893981031081131181251301351401451501551605398232833384348[[#This Row],[Cost]],RentalAssistance19687378838893981031081131181251301351401451501551605398232833384348[[#This Row],[Frequency]]="Per day",RentalAssistance19687378838893981031081131181251301351401451501551605398232833384348[[#This Row],[Cost]]*30,RentalAssistance19687378838893981031081131181251301351401451501551605398232833384348[[#This Row],[Frequency]]="One-time",RentalAssistance19687378838893981031081131181251301351401451501551605398232833384348[[#This Row],[Cost]]/SUM($C$18,$C$19)))/$C$17),RentalAssistance19687378838893981031081131181251301351401451501551605398232833384348[[#This Row],[Unit]]="Per unit/space/household",(_xlfn.IFS(RentalAssistance19687378838893981031081131181251301351401451501551605398232833384348[[#This Row],[Frequency]]="Per Year",RentalAssistance19687378838893981031081131181251301351401451501551605398232833384348[[#This Row],[Cost]]/12,RentalAssistance19687378838893981031081131181251301351401451501551605398232833384348[[#This Row],[Frequency]]="Per month",RentalAssistance19687378838893981031081131181251301351401451501551605398232833384348[[#This Row],[Cost]],RentalAssistance19687378838893981031081131181251301351401451501551605398232833384348[[#This Row],[Frequency]]="Per day",RentalAssistance19687378838893981031081131181251301351401451501551605398232833384348[[#This Row],[Cost]]*30,RentalAssistance19687378838893981031081131181251301351401451501551605398232833384348[[#This Row],[Frequency]]="One-time",RentalAssistance19687378838893981031081131181251301351401451501551605398232833384348[[#This Row],[Cost]]/SUM($C$18,$C$19))))</f>
        <v>#N/A</v>
      </c>
      <c r="H83" s="46" t="e">
        <f>RentalAssistance19687378838893981031081131181251301351401451501551605398232833384348[[#This Row],[Monthly Cost Per Unit]]*12</f>
        <v>#N/A</v>
      </c>
    </row>
    <row r="84" spans="1:8" x14ac:dyDescent="0.25">
      <c r="A84" s="75"/>
      <c r="B84" s="75"/>
      <c r="C84" s="77"/>
      <c r="D84" s="78"/>
      <c r="E84" s="79"/>
      <c r="F84" s="79"/>
      <c r="G84" s="53" t="e" cm="1">
        <f t="array" ref="G84">_xlfn.IFS(RentalAssistance19687378838893981031081131181251301351401451501551605398232833384348[[#This Row],[Unit]]="Program-wide",((_xlfn.IFS(RentalAssistance19687378838893981031081131181251301351401451501551605398232833384348[[#This Row],[Frequency]]="Per Year",RentalAssistance19687378838893981031081131181251301351401451501551605398232833384348[[#This Row],[Cost]]/12,RentalAssistance19687378838893981031081131181251301351401451501551605398232833384348[[#This Row],[Frequency]]="Per month",RentalAssistance19687378838893981031081131181251301351401451501551605398232833384348[[#This Row],[Cost]],RentalAssistance19687378838893981031081131181251301351401451501551605398232833384348[[#This Row],[Frequency]]="Per day",RentalAssistance19687378838893981031081131181251301351401451501551605398232833384348[[#This Row],[Cost]]*30,RentalAssistance19687378838893981031081131181251301351401451501551605398232833384348[[#This Row],[Frequency]]="One-time",RentalAssistance19687378838893981031081131181251301351401451501551605398232833384348[[#This Row],[Cost]]/SUM($C$18,$C$19)))/$C$17),RentalAssistance19687378838893981031081131181251301351401451501551605398232833384348[[#This Row],[Unit]]="Per unit/space/household",(_xlfn.IFS(RentalAssistance19687378838893981031081131181251301351401451501551605398232833384348[[#This Row],[Frequency]]="Per Year",RentalAssistance19687378838893981031081131181251301351401451501551605398232833384348[[#This Row],[Cost]]/12,RentalAssistance19687378838893981031081131181251301351401451501551605398232833384348[[#This Row],[Frequency]]="Per month",RentalAssistance19687378838893981031081131181251301351401451501551605398232833384348[[#This Row],[Cost]],RentalAssistance19687378838893981031081131181251301351401451501551605398232833384348[[#This Row],[Frequency]]="Per day",RentalAssistance19687378838893981031081131181251301351401451501551605398232833384348[[#This Row],[Cost]]*30,RentalAssistance19687378838893981031081131181251301351401451501551605398232833384348[[#This Row],[Frequency]]="One-time",RentalAssistance19687378838893981031081131181251301351401451501551605398232833384348[[#This Row],[Cost]]/SUM($C$18,$C$19))))</f>
        <v>#N/A</v>
      </c>
      <c r="H84" s="46" t="e">
        <f>RentalAssistance19687378838893981031081131181251301351401451501551605398232833384348[[#This Row],[Monthly Cost Per Unit]]*12</f>
        <v>#N/A</v>
      </c>
    </row>
    <row r="85" spans="1:8" x14ac:dyDescent="0.25">
      <c r="A85" s="80"/>
      <c r="B85" s="80"/>
      <c r="C85" s="82"/>
      <c r="D85" s="83"/>
      <c r="E85" s="84"/>
      <c r="F85" s="84"/>
      <c r="G85" s="55" t="e" cm="1">
        <f t="array" ref="G85">_xlfn.IFS(RentalAssistance19687378838893981031081131181251301351401451501551605398232833384348[[#This Row],[Unit]]="Program-wide",((_xlfn.IFS(RentalAssistance19687378838893981031081131181251301351401451501551605398232833384348[[#This Row],[Frequency]]="Per Year",RentalAssistance19687378838893981031081131181251301351401451501551605398232833384348[[#This Row],[Cost]]/12,RentalAssistance19687378838893981031081131181251301351401451501551605398232833384348[[#This Row],[Frequency]]="Per month",RentalAssistance19687378838893981031081131181251301351401451501551605398232833384348[[#This Row],[Cost]],RentalAssistance19687378838893981031081131181251301351401451501551605398232833384348[[#This Row],[Frequency]]="Per day",RentalAssistance19687378838893981031081131181251301351401451501551605398232833384348[[#This Row],[Cost]]*30,RentalAssistance19687378838893981031081131181251301351401451501551605398232833384348[[#This Row],[Frequency]]="One-time",RentalAssistance19687378838893981031081131181251301351401451501551605398232833384348[[#This Row],[Cost]]/SUM($C$18,$C$19)))/$C$17),RentalAssistance19687378838893981031081131181251301351401451501551605398232833384348[[#This Row],[Unit]]="Per unit/space/household",(_xlfn.IFS(RentalAssistance19687378838893981031081131181251301351401451501551605398232833384348[[#This Row],[Frequency]]="Per Year",RentalAssistance19687378838893981031081131181251301351401451501551605398232833384348[[#This Row],[Cost]]/12,RentalAssistance19687378838893981031081131181251301351401451501551605398232833384348[[#This Row],[Frequency]]="Per month",RentalAssistance19687378838893981031081131181251301351401451501551605398232833384348[[#This Row],[Cost]],RentalAssistance19687378838893981031081131181251301351401451501551605398232833384348[[#This Row],[Frequency]]="Per day",RentalAssistance19687378838893981031081131181251301351401451501551605398232833384348[[#This Row],[Cost]]*30,RentalAssistance19687378838893981031081131181251301351401451501551605398232833384348[[#This Row],[Frequency]]="One-time",RentalAssistance19687378838893981031081131181251301351401451501551605398232833384348[[#This Row],[Cost]]/SUM($C$18,$C$19))))</f>
        <v>#N/A</v>
      </c>
      <c r="H85" s="46" t="e">
        <f>RentalAssistance19687378838893981031081131181251301351401451501551605398232833384348[[#This Row],[Monthly Cost Per Unit]]*12</f>
        <v>#N/A</v>
      </c>
    </row>
    <row r="86" spans="1:8" x14ac:dyDescent="0.25">
      <c r="A86" s="107" t="s">
        <v>20</v>
      </c>
      <c r="B86" s="107"/>
      <c r="C86" s="108" t="s">
        <v>68</v>
      </c>
      <c r="D86" s="109"/>
      <c r="E86" s="108"/>
      <c r="F86" s="108"/>
      <c r="G86" s="118"/>
      <c r="H86" s="111">
        <f>(SUMIF(RentalAssistance19687378838893981031081131181251301351401451501551605398232833384348[Duration],"While homeless only",RentalAssistance19687378838893981031081131181251301351401451501551605398232833384348[Monthly Cost Per Unit]))*12</f>
        <v>0</v>
      </c>
    </row>
    <row r="87" spans="1:8" x14ac:dyDescent="0.25">
      <c r="A87" s="112"/>
      <c r="B87" s="112"/>
      <c r="C87" s="108" t="s">
        <v>63</v>
      </c>
      <c r="D87" s="109"/>
      <c r="E87" s="108"/>
      <c r="F87" s="108"/>
      <c r="G87" s="111"/>
      <c r="H87" s="111">
        <f>(SUMIF(RentalAssistance19687378838893981031081131181251301351401451501551605398232833384348[Duration],"While housed only",RentalAssistance19687378838893981031081131181251301351401451501551605398232833384348[Monthly Cost Per Unit]))*12</f>
        <v>0</v>
      </c>
    </row>
    <row r="88" spans="1:8" x14ac:dyDescent="0.25">
      <c r="A88" s="112"/>
      <c r="B88" s="112"/>
      <c r="C88" s="108" t="s">
        <v>58</v>
      </c>
      <c r="D88" s="109"/>
      <c r="E88" s="108"/>
      <c r="F88" s="108"/>
      <c r="G88" s="111"/>
      <c r="H88" s="111">
        <f>(SUMIF(RentalAssistance19687378838893981031081131181251301351401451501551605398232833384348[Duration],"Homeless &amp; housed",RentalAssistance19687378838893981031081131181251301351401451501551605398232833384348[Monthly Cost Per Unit]))*12</f>
        <v>0</v>
      </c>
    </row>
    <row r="89" spans="1:8" ht="15.75" thickBot="1" x14ac:dyDescent="0.3">
      <c r="A89" s="113"/>
      <c r="B89" s="113"/>
      <c r="C89" s="114" t="s">
        <v>207</v>
      </c>
      <c r="D89" s="115"/>
      <c r="E89" s="114"/>
      <c r="F89" s="114"/>
      <c r="G89" s="117"/>
      <c r="H89" s="117">
        <f>(SUMIF(RentalAssistance19687378838893981031081131181251301351401451501551605398232833384348[Duration],"N/A",RentalAssistance19687378838893981031081131181251301351401451501551605398232833384348[Monthly Cost Per Unit]))*12</f>
        <v>0</v>
      </c>
    </row>
    <row r="90" spans="1:8" ht="16.5" thickTop="1" thickBot="1" x14ac:dyDescent="0.3">
      <c r="A90" s="113"/>
      <c r="B90" s="113"/>
      <c r="C90" s="114" t="s">
        <v>42</v>
      </c>
      <c r="D90" s="115"/>
      <c r="E90" s="114"/>
      <c r="F90" s="114"/>
      <c r="G90" s="117"/>
      <c r="H90" s="117">
        <f>SUM(H86:H89)</f>
        <v>0</v>
      </c>
    </row>
    <row r="91" spans="1:8" ht="15.75" thickTop="1" x14ac:dyDescent="0.25">
      <c r="A91" s="146"/>
      <c r="B91" s="137"/>
      <c r="C91" s="137"/>
      <c r="D91" s="137"/>
      <c r="E91" s="137"/>
      <c r="F91" s="138"/>
      <c r="G91"/>
      <c r="H91" s="128"/>
    </row>
    <row r="92" spans="1:8" x14ac:dyDescent="0.25">
      <c r="A92" s="274" t="s">
        <v>88</v>
      </c>
      <c r="B92" s="274"/>
      <c r="C92" s="274"/>
      <c r="D92" s="274"/>
      <c r="E92" s="274"/>
      <c r="F92" s="274"/>
      <c r="G92" s="274"/>
      <c r="H92" s="274"/>
    </row>
    <row r="93" spans="1:8" ht="32.25" customHeight="1" outlineLevel="1" x14ac:dyDescent="0.25">
      <c r="A93" s="294" t="s">
        <v>89</v>
      </c>
      <c r="B93" s="294"/>
      <c r="C93" s="294"/>
      <c r="D93" s="294"/>
      <c r="E93" s="294"/>
      <c r="F93" s="294"/>
      <c r="G93" s="294"/>
      <c r="H93" s="294"/>
    </row>
    <row r="94" spans="1:8" ht="30" x14ac:dyDescent="0.25">
      <c r="A94" s="131" t="s">
        <v>51</v>
      </c>
      <c r="B94" s="131" t="s">
        <v>52</v>
      </c>
      <c r="C94" s="131" t="s">
        <v>53</v>
      </c>
      <c r="D94" s="131" t="s">
        <v>54</v>
      </c>
      <c r="E94" s="131" t="s">
        <v>55</v>
      </c>
      <c r="F94" s="131" t="s">
        <v>56</v>
      </c>
      <c r="G94" s="131" t="s">
        <v>57</v>
      </c>
      <c r="H94" s="132" t="s">
        <v>20</v>
      </c>
    </row>
    <row r="95" spans="1:8" x14ac:dyDescent="0.25">
      <c r="A95" s="75"/>
      <c r="B95" s="75"/>
      <c r="C95" s="77"/>
      <c r="D95" s="78"/>
      <c r="E95" s="79"/>
      <c r="F95" s="76"/>
      <c r="G95" s="53" t="e" cm="1">
        <f t="array" ref="G95">_xlfn.IFS(Services110697479848994991041091141191261311361411461511561615499242934394449[[#This Row],[Unit]]="Program-wide",((_xlfn.IFS(Services110697479848994991041091141191261311361411461511561615499242934394449[[#This Row],[Frequency]]="Per Year",Services110697479848994991041091141191261311361411461511561615499242934394449[[#This Row],[Cost]]/12,Services110697479848994991041091141191261311361411461511561615499242934394449[[#This Row],[Frequency]]="Per month",Services110697479848994991041091141191261311361411461511561615499242934394449[[#This Row],[Cost]],Services110697479848994991041091141191261311361411461511561615499242934394449[[#This Row],[Frequency]]="Per day",Services110697479848994991041091141191261311361411461511561615499242934394449[[#This Row],[Cost]]*30,Services110697479848994991041091141191261311361411461511561615499242934394449[[#This Row],[Frequency]]="One-time",Services110697479848994991041091141191261311361411461511561615499242934394449[[#This Row],[Cost]]/SUM($C$18,$C$19)))/$C$17),Services110697479848994991041091141191261311361411461511561615499242934394449[[#This Row],[Unit]]="Per unit/space/household",(_xlfn.IFS(Services110697479848994991041091141191261311361411461511561615499242934394449[[#This Row],[Frequency]]="Per Year",Services110697479848994991041091141191261311361411461511561615499242934394449[[#This Row],[Cost]]/12,Services110697479848994991041091141191261311361411461511561615499242934394449[[#This Row],[Frequency]]="Per month",Services110697479848994991041091141191261311361411461511561615499242934394449[[#This Row],[Cost]],Services110697479848994991041091141191261311361411461511561615499242934394449[[#This Row],[Frequency]]="Per day",Services110697479848994991041091141191261311361411461511561615499242934394449[[#This Row],[Cost]]*30,Services110697479848994991041091141191261311361411461511561615499242934394449[[#This Row],[Frequency]]="One-time",Services110697479848994991041091141191261311361411461511561615499242934394449[[#This Row],[Cost]]/SUM($C$18,$C$19))))</f>
        <v>#N/A</v>
      </c>
      <c r="H95" s="46" t="e">
        <f>Services110697479848994991041091141191261311361411461511561615499242934394449[[#This Row],[Monthly Cost Per Unit]]*12</f>
        <v>#N/A</v>
      </c>
    </row>
    <row r="96" spans="1:8" x14ac:dyDescent="0.25">
      <c r="A96" s="75"/>
      <c r="B96" s="75"/>
      <c r="C96" s="77"/>
      <c r="D96" s="78"/>
      <c r="E96" s="79"/>
      <c r="F96" s="76"/>
      <c r="G96" s="53" t="e" cm="1">
        <f t="array" ref="G96">_xlfn.IFS(Services110697479848994991041091141191261311361411461511561615499242934394449[[#This Row],[Unit]]="Program-wide",((_xlfn.IFS(Services110697479848994991041091141191261311361411461511561615499242934394449[[#This Row],[Frequency]]="Per Year",Services110697479848994991041091141191261311361411461511561615499242934394449[[#This Row],[Cost]]/12,Services110697479848994991041091141191261311361411461511561615499242934394449[[#This Row],[Frequency]]="Per month",Services110697479848994991041091141191261311361411461511561615499242934394449[[#This Row],[Cost]],Services110697479848994991041091141191261311361411461511561615499242934394449[[#This Row],[Frequency]]="Per day",Services110697479848994991041091141191261311361411461511561615499242934394449[[#This Row],[Cost]]*30,Services110697479848994991041091141191261311361411461511561615499242934394449[[#This Row],[Frequency]]="One-time",Services110697479848994991041091141191261311361411461511561615499242934394449[[#This Row],[Cost]]/SUM($C$18,$C$19)))/$C$17),Services110697479848994991041091141191261311361411461511561615499242934394449[[#This Row],[Unit]]="Per unit/space/household",(_xlfn.IFS(Services110697479848994991041091141191261311361411461511561615499242934394449[[#This Row],[Frequency]]="Per Year",Services110697479848994991041091141191261311361411461511561615499242934394449[[#This Row],[Cost]]/12,Services110697479848994991041091141191261311361411461511561615499242934394449[[#This Row],[Frequency]]="Per month",Services110697479848994991041091141191261311361411461511561615499242934394449[[#This Row],[Cost]],Services110697479848994991041091141191261311361411461511561615499242934394449[[#This Row],[Frequency]]="Per day",Services110697479848994991041091141191261311361411461511561615499242934394449[[#This Row],[Cost]]*30,Services110697479848994991041091141191261311361411461511561615499242934394449[[#This Row],[Frequency]]="One-time",Services110697479848994991041091141191261311361411461511561615499242934394449[[#This Row],[Cost]]/SUM($C$18,$C$19))))</f>
        <v>#N/A</v>
      </c>
      <c r="H96" s="46" t="e">
        <f>Services110697479848994991041091141191261311361411461511561615499242934394449[[#This Row],[Monthly Cost Per Unit]]*12</f>
        <v>#N/A</v>
      </c>
    </row>
    <row r="97" spans="1:8" x14ac:dyDescent="0.25">
      <c r="A97" s="75"/>
      <c r="B97" s="75"/>
      <c r="C97" s="77"/>
      <c r="D97" s="78"/>
      <c r="E97" s="79"/>
      <c r="F97" s="76"/>
      <c r="G97" s="53" t="e" cm="1">
        <f t="array" ref="G97">_xlfn.IFS(Services110697479848994991041091141191261311361411461511561615499242934394449[[#This Row],[Unit]]="Program-wide",((_xlfn.IFS(Services110697479848994991041091141191261311361411461511561615499242934394449[[#This Row],[Frequency]]="Per Year",Services110697479848994991041091141191261311361411461511561615499242934394449[[#This Row],[Cost]]/12,Services110697479848994991041091141191261311361411461511561615499242934394449[[#This Row],[Frequency]]="Per month",Services110697479848994991041091141191261311361411461511561615499242934394449[[#This Row],[Cost]],Services110697479848994991041091141191261311361411461511561615499242934394449[[#This Row],[Frequency]]="Per day",Services110697479848994991041091141191261311361411461511561615499242934394449[[#This Row],[Cost]]*30,Services110697479848994991041091141191261311361411461511561615499242934394449[[#This Row],[Frequency]]="One-time",Services110697479848994991041091141191261311361411461511561615499242934394449[[#This Row],[Cost]]/SUM($C$18,$C$19)))/$C$17),Services110697479848994991041091141191261311361411461511561615499242934394449[[#This Row],[Unit]]="Per unit/space/household",(_xlfn.IFS(Services110697479848994991041091141191261311361411461511561615499242934394449[[#This Row],[Frequency]]="Per Year",Services110697479848994991041091141191261311361411461511561615499242934394449[[#This Row],[Cost]]/12,Services110697479848994991041091141191261311361411461511561615499242934394449[[#This Row],[Frequency]]="Per month",Services110697479848994991041091141191261311361411461511561615499242934394449[[#This Row],[Cost]],Services110697479848994991041091141191261311361411461511561615499242934394449[[#This Row],[Frequency]]="Per day",Services110697479848994991041091141191261311361411461511561615499242934394449[[#This Row],[Cost]]*30,Services110697479848994991041091141191261311361411461511561615499242934394449[[#This Row],[Frequency]]="One-time",Services110697479848994991041091141191261311361411461511561615499242934394449[[#This Row],[Cost]]/SUM($C$18,$C$19))))</f>
        <v>#N/A</v>
      </c>
      <c r="H97" s="46" t="e">
        <f>Services110697479848994991041091141191261311361411461511561615499242934394449[[#This Row],[Monthly Cost Per Unit]]*12</f>
        <v>#N/A</v>
      </c>
    </row>
    <row r="98" spans="1:8" x14ac:dyDescent="0.25">
      <c r="A98" s="75"/>
      <c r="B98" s="75"/>
      <c r="C98" s="77"/>
      <c r="D98" s="78"/>
      <c r="E98" s="79"/>
      <c r="F98" s="76"/>
      <c r="G98" s="53" t="e" cm="1">
        <f t="array" ref="G98">_xlfn.IFS(Services110697479848994991041091141191261311361411461511561615499242934394449[[#This Row],[Unit]]="Program-wide",((_xlfn.IFS(Services110697479848994991041091141191261311361411461511561615499242934394449[[#This Row],[Frequency]]="Per Year",Services110697479848994991041091141191261311361411461511561615499242934394449[[#This Row],[Cost]]/12,Services110697479848994991041091141191261311361411461511561615499242934394449[[#This Row],[Frequency]]="Per month",Services110697479848994991041091141191261311361411461511561615499242934394449[[#This Row],[Cost]],Services110697479848994991041091141191261311361411461511561615499242934394449[[#This Row],[Frequency]]="Per day",Services110697479848994991041091141191261311361411461511561615499242934394449[[#This Row],[Cost]]*30,Services110697479848994991041091141191261311361411461511561615499242934394449[[#This Row],[Frequency]]="One-time",Services110697479848994991041091141191261311361411461511561615499242934394449[[#This Row],[Cost]]/SUM($C$18,$C$19)))/$C$17),Services110697479848994991041091141191261311361411461511561615499242934394449[[#This Row],[Unit]]="Per unit/space/household",(_xlfn.IFS(Services110697479848994991041091141191261311361411461511561615499242934394449[[#This Row],[Frequency]]="Per Year",Services110697479848994991041091141191261311361411461511561615499242934394449[[#This Row],[Cost]]/12,Services110697479848994991041091141191261311361411461511561615499242934394449[[#This Row],[Frequency]]="Per month",Services110697479848994991041091141191261311361411461511561615499242934394449[[#This Row],[Cost]],Services110697479848994991041091141191261311361411461511561615499242934394449[[#This Row],[Frequency]]="Per day",Services110697479848994991041091141191261311361411461511561615499242934394449[[#This Row],[Cost]]*30,Services110697479848994991041091141191261311361411461511561615499242934394449[[#This Row],[Frequency]]="One-time",Services110697479848994991041091141191261311361411461511561615499242934394449[[#This Row],[Cost]]/SUM($C$18,$C$19))))</f>
        <v>#N/A</v>
      </c>
      <c r="H98" s="46" t="e">
        <f>Services110697479848994991041091141191261311361411461511561615499242934394449[[#This Row],[Monthly Cost Per Unit]]*12</f>
        <v>#N/A</v>
      </c>
    </row>
    <row r="99" spans="1:8" x14ac:dyDescent="0.25">
      <c r="A99" s="75"/>
      <c r="B99" s="75"/>
      <c r="C99" s="77"/>
      <c r="D99" s="78"/>
      <c r="E99" s="79"/>
      <c r="F99" s="76"/>
      <c r="G99" s="53" t="e" cm="1">
        <f t="array" ref="G99">_xlfn.IFS(Services110697479848994991041091141191261311361411461511561615499242934394449[[#This Row],[Unit]]="Program-wide",((_xlfn.IFS(Services110697479848994991041091141191261311361411461511561615499242934394449[[#This Row],[Frequency]]="Per Year",Services110697479848994991041091141191261311361411461511561615499242934394449[[#This Row],[Cost]]/12,Services110697479848994991041091141191261311361411461511561615499242934394449[[#This Row],[Frequency]]="Per month",Services110697479848994991041091141191261311361411461511561615499242934394449[[#This Row],[Cost]],Services110697479848994991041091141191261311361411461511561615499242934394449[[#This Row],[Frequency]]="Per day",Services110697479848994991041091141191261311361411461511561615499242934394449[[#This Row],[Cost]]*30,Services110697479848994991041091141191261311361411461511561615499242934394449[[#This Row],[Frequency]]="One-time",Services110697479848994991041091141191261311361411461511561615499242934394449[[#This Row],[Cost]]/SUM($C$18,$C$19)))/$C$17),Services110697479848994991041091141191261311361411461511561615499242934394449[[#This Row],[Unit]]="Per unit/space/household",(_xlfn.IFS(Services110697479848994991041091141191261311361411461511561615499242934394449[[#This Row],[Frequency]]="Per Year",Services110697479848994991041091141191261311361411461511561615499242934394449[[#This Row],[Cost]]/12,Services110697479848994991041091141191261311361411461511561615499242934394449[[#This Row],[Frequency]]="Per month",Services110697479848994991041091141191261311361411461511561615499242934394449[[#This Row],[Cost]],Services110697479848994991041091141191261311361411461511561615499242934394449[[#This Row],[Frequency]]="Per day",Services110697479848994991041091141191261311361411461511561615499242934394449[[#This Row],[Cost]]*30,Services110697479848994991041091141191261311361411461511561615499242934394449[[#This Row],[Frequency]]="One-time",Services110697479848994991041091141191261311361411461511561615499242934394449[[#This Row],[Cost]]/SUM($C$18,$C$19))))</f>
        <v>#N/A</v>
      </c>
      <c r="H99" s="46" t="e">
        <f>Services110697479848994991041091141191261311361411461511561615499242934394449[[#This Row],[Monthly Cost Per Unit]]*12</f>
        <v>#N/A</v>
      </c>
    </row>
    <row r="100" spans="1:8" x14ac:dyDescent="0.25">
      <c r="A100" s="75"/>
      <c r="B100" s="75"/>
      <c r="C100" s="77"/>
      <c r="D100" s="78"/>
      <c r="E100" s="79"/>
      <c r="F100" s="76"/>
      <c r="G100" s="53" t="e" cm="1">
        <f t="array" ref="G100">_xlfn.IFS(Services110697479848994991041091141191261311361411461511561615499242934394449[[#This Row],[Unit]]="Program-wide",((_xlfn.IFS(Services110697479848994991041091141191261311361411461511561615499242934394449[[#This Row],[Frequency]]="Per Year",Services110697479848994991041091141191261311361411461511561615499242934394449[[#This Row],[Cost]]/12,Services110697479848994991041091141191261311361411461511561615499242934394449[[#This Row],[Frequency]]="Per month",Services110697479848994991041091141191261311361411461511561615499242934394449[[#This Row],[Cost]],Services110697479848994991041091141191261311361411461511561615499242934394449[[#This Row],[Frequency]]="Per day",Services110697479848994991041091141191261311361411461511561615499242934394449[[#This Row],[Cost]]*30,Services110697479848994991041091141191261311361411461511561615499242934394449[[#This Row],[Frequency]]="One-time",Services110697479848994991041091141191261311361411461511561615499242934394449[[#This Row],[Cost]]/SUM($C$18,$C$19)))/$C$17),Services110697479848994991041091141191261311361411461511561615499242934394449[[#This Row],[Unit]]="Per unit/space/household",(_xlfn.IFS(Services110697479848994991041091141191261311361411461511561615499242934394449[[#This Row],[Frequency]]="Per Year",Services110697479848994991041091141191261311361411461511561615499242934394449[[#This Row],[Cost]]/12,Services110697479848994991041091141191261311361411461511561615499242934394449[[#This Row],[Frequency]]="Per month",Services110697479848994991041091141191261311361411461511561615499242934394449[[#This Row],[Cost]],Services110697479848994991041091141191261311361411461511561615499242934394449[[#This Row],[Frequency]]="Per day",Services110697479848994991041091141191261311361411461511561615499242934394449[[#This Row],[Cost]]*30,Services110697479848994991041091141191261311361411461511561615499242934394449[[#This Row],[Frequency]]="One-time",Services110697479848994991041091141191261311361411461511561615499242934394449[[#This Row],[Cost]]/SUM($C$18,$C$19))))</f>
        <v>#N/A</v>
      </c>
      <c r="H100" s="46" t="e">
        <f>Services110697479848994991041091141191261311361411461511561615499242934394449[[#This Row],[Monthly Cost Per Unit]]*12</f>
        <v>#N/A</v>
      </c>
    </row>
    <row r="101" spans="1:8" x14ac:dyDescent="0.25">
      <c r="A101" s="75"/>
      <c r="B101" s="75"/>
      <c r="C101" s="77"/>
      <c r="D101" s="78"/>
      <c r="E101" s="79"/>
      <c r="F101" s="76"/>
      <c r="G101" s="53" t="e" cm="1">
        <f t="array" ref="G101">_xlfn.IFS(Services110697479848994991041091141191261311361411461511561615499242934394449[[#This Row],[Unit]]="Program-wide",((_xlfn.IFS(Services110697479848994991041091141191261311361411461511561615499242934394449[[#This Row],[Frequency]]="Per Year",Services110697479848994991041091141191261311361411461511561615499242934394449[[#This Row],[Cost]]/12,Services110697479848994991041091141191261311361411461511561615499242934394449[[#This Row],[Frequency]]="Per month",Services110697479848994991041091141191261311361411461511561615499242934394449[[#This Row],[Cost]],Services110697479848994991041091141191261311361411461511561615499242934394449[[#This Row],[Frequency]]="Per day",Services110697479848994991041091141191261311361411461511561615499242934394449[[#This Row],[Cost]]*30,Services110697479848994991041091141191261311361411461511561615499242934394449[[#This Row],[Frequency]]="One-time",Services110697479848994991041091141191261311361411461511561615499242934394449[[#This Row],[Cost]]/SUM($C$18,$C$19)))/$C$17),Services110697479848994991041091141191261311361411461511561615499242934394449[[#This Row],[Unit]]="Per unit/space/household",(_xlfn.IFS(Services110697479848994991041091141191261311361411461511561615499242934394449[[#This Row],[Frequency]]="Per Year",Services110697479848994991041091141191261311361411461511561615499242934394449[[#This Row],[Cost]]/12,Services110697479848994991041091141191261311361411461511561615499242934394449[[#This Row],[Frequency]]="Per month",Services110697479848994991041091141191261311361411461511561615499242934394449[[#This Row],[Cost]],Services110697479848994991041091141191261311361411461511561615499242934394449[[#This Row],[Frequency]]="Per day",Services110697479848994991041091141191261311361411461511561615499242934394449[[#This Row],[Cost]]*30,Services110697479848994991041091141191261311361411461511561615499242934394449[[#This Row],[Frequency]]="One-time",Services110697479848994991041091141191261311361411461511561615499242934394449[[#This Row],[Cost]]/SUM($C$18,$C$19))))</f>
        <v>#N/A</v>
      </c>
      <c r="H101" s="46" t="e">
        <f>Services110697479848994991041091141191261311361411461511561615499242934394449[[#This Row],[Monthly Cost Per Unit]]*12</f>
        <v>#N/A</v>
      </c>
    </row>
    <row r="102" spans="1:8" x14ac:dyDescent="0.25">
      <c r="A102" s="75"/>
      <c r="B102" s="75"/>
      <c r="C102" s="77"/>
      <c r="D102" s="78"/>
      <c r="E102" s="79"/>
      <c r="F102" s="76"/>
      <c r="G102" s="53" t="e" cm="1">
        <f t="array" ref="G102">_xlfn.IFS(Services110697479848994991041091141191261311361411461511561615499242934394449[[#This Row],[Unit]]="Program-wide",((_xlfn.IFS(Services110697479848994991041091141191261311361411461511561615499242934394449[[#This Row],[Frequency]]="Per Year",Services110697479848994991041091141191261311361411461511561615499242934394449[[#This Row],[Cost]]/12,Services110697479848994991041091141191261311361411461511561615499242934394449[[#This Row],[Frequency]]="Per month",Services110697479848994991041091141191261311361411461511561615499242934394449[[#This Row],[Cost]],Services110697479848994991041091141191261311361411461511561615499242934394449[[#This Row],[Frequency]]="Per day",Services110697479848994991041091141191261311361411461511561615499242934394449[[#This Row],[Cost]]*30,Services110697479848994991041091141191261311361411461511561615499242934394449[[#This Row],[Frequency]]="One-time",Services110697479848994991041091141191261311361411461511561615499242934394449[[#This Row],[Cost]]/SUM($C$18,$C$19)))/$C$17),Services110697479848994991041091141191261311361411461511561615499242934394449[[#This Row],[Unit]]="Per unit/space/household",(_xlfn.IFS(Services110697479848994991041091141191261311361411461511561615499242934394449[[#This Row],[Frequency]]="Per Year",Services110697479848994991041091141191261311361411461511561615499242934394449[[#This Row],[Cost]]/12,Services110697479848994991041091141191261311361411461511561615499242934394449[[#This Row],[Frequency]]="Per month",Services110697479848994991041091141191261311361411461511561615499242934394449[[#This Row],[Cost]],Services110697479848994991041091141191261311361411461511561615499242934394449[[#This Row],[Frequency]]="Per day",Services110697479848994991041091141191261311361411461511561615499242934394449[[#This Row],[Cost]]*30,Services110697479848994991041091141191261311361411461511561615499242934394449[[#This Row],[Frequency]]="One-time",Services110697479848994991041091141191261311361411461511561615499242934394449[[#This Row],[Cost]]/SUM($C$18,$C$19))))</f>
        <v>#N/A</v>
      </c>
      <c r="H102" s="46" t="e">
        <f>Services110697479848994991041091141191261311361411461511561615499242934394449[[#This Row],[Monthly Cost Per Unit]]*12</f>
        <v>#N/A</v>
      </c>
    </row>
    <row r="103" spans="1:8" x14ac:dyDescent="0.25">
      <c r="A103" s="75"/>
      <c r="B103" s="75"/>
      <c r="C103" s="77"/>
      <c r="D103" s="78"/>
      <c r="E103" s="79"/>
      <c r="F103" s="76"/>
      <c r="G103" s="53" t="e" cm="1">
        <f t="array" ref="G103">_xlfn.IFS(Services110697479848994991041091141191261311361411461511561615499242934394449[[#This Row],[Unit]]="Program-wide",((_xlfn.IFS(Services110697479848994991041091141191261311361411461511561615499242934394449[[#This Row],[Frequency]]="Per Year",Services110697479848994991041091141191261311361411461511561615499242934394449[[#This Row],[Cost]]/12,Services110697479848994991041091141191261311361411461511561615499242934394449[[#This Row],[Frequency]]="Per month",Services110697479848994991041091141191261311361411461511561615499242934394449[[#This Row],[Cost]],Services110697479848994991041091141191261311361411461511561615499242934394449[[#This Row],[Frequency]]="Per day",Services110697479848994991041091141191261311361411461511561615499242934394449[[#This Row],[Cost]]*30,Services110697479848994991041091141191261311361411461511561615499242934394449[[#This Row],[Frequency]]="One-time",Services110697479848994991041091141191261311361411461511561615499242934394449[[#This Row],[Cost]]/SUM($C$18,$C$19)))/$C$17),Services110697479848994991041091141191261311361411461511561615499242934394449[[#This Row],[Unit]]="Per unit/space/household",(_xlfn.IFS(Services110697479848994991041091141191261311361411461511561615499242934394449[[#This Row],[Frequency]]="Per Year",Services110697479848994991041091141191261311361411461511561615499242934394449[[#This Row],[Cost]]/12,Services110697479848994991041091141191261311361411461511561615499242934394449[[#This Row],[Frequency]]="Per month",Services110697479848994991041091141191261311361411461511561615499242934394449[[#This Row],[Cost]],Services110697479848994991041091141191261311361411461511561615499242934394449[[#This Row],[Frequency]]="Per day",Services110697479848994991041091141191261311361411461511561615499242934394449[[#This Row],[Cost]]*30,Services110697479848994991041091141191261311361411461511561615499242934394449[[#This Row],[Frequency]]="One-time",Services110697479848994991041091141191261311361411461511561615499242934394449[[#This Row],[Cost]]/SUM($C$18,$C$19))))</f>
        <v>#N/A</v>
      </c>
      <c r="H103" s="46" t="e">
        <f>Services110697479848994991041091141191261311361411461511561615499242934394449[[#This Row],[Monthly Cost Per Unit]]*12</f>
        <v>#N/A</v>
      </c>
    </row>
    <row r="104" spans="1:8" x14ac:dyDescent="0.25">
      <c r="A104" s="75"/>
      <c r="B104" s="75"/>
      <c r="C104" s="77"/>
      <c r="D104" s="78"/>
      <c r="E104" s="79"/>
      <c r="F104" s="76"/>
      <c r="G104" s="53" t="e" cm="1">
        <f t="array" ref="G104">_xlfn.IFS(Services110697479848994991041091141191261311361411461511561615499242934394449[[#This Row],[Unit]]="Program-wide",((_xlfn.IFS(Services110697479848994991041091141191261311361411461511561615499242934394449[[#This Row],[Frequency]]="Per Year",Services110697479848994991041091141191261311361411461511561615499242934394449[[#This Row],[Cost]]/12,Services110697479848994991041091141191261311361411461511561615499242934394449[[#This Row],[Frequency]]="Per month",Services110697479848994991041091141191261311361411461511561615499242934394449[[#This Row],[Cost]],Services110697479848994991041091141191261311361411461511561615499242934394449[[#This Row],[Frequency]]="Per day",Services110697479848994991041091141191261311361411461511561615499242934394449[[#This Row],[Cost]]*30,Services110697479848994991041091141191261311361411461511561615499242934394449[[#This Row],[Frequency]]="One-time",Services110697479848994991041091141191261311361411461511561615499242934394449[[#This Row],[Cost]]/SUM($C$18,$C$19)))/$C$17),Services110697479848994991041091141191261311361411461511561615499242934394449[[#This Row],[Unit]]="Per unit/space/household",(_xlfn.IFS(Services110697479848994991041091141191261311361411461511561615499242934394449[[#This Row],[Frequency]]="Per Year",Services110697479848994991041091141191261311361411461511561615499242934394449[[#This Row],[Cost]]/12,Services110697479848994991041091141191261311361411461511561615499242934394449[[#This Row],[Frequency]]="Per month",Services110697479848994991041091141191261311361411461511561615499242934394449[[#This Row],[Cost]],Services110697479848994991041091141191261311361411461511561615499242934394449[[#This Row],[Frequency]]="Per day",Services110697479848994991041091141191261311361411461511561615499242934394449[[#This Row],[Cost]]*30,Services110697479848994991041091141191261311361411461511561615499242934394449[[#This Row],[Frequency]]="One-time",Services110697479848994991041091141191261311361411461511561615499242934394449[[#This Row],[Cost]]/SUM($C$18,$C$19))))</f>
        <v>#N/A</v>
      </c>
      <c r="H104" s="46" t="e">
        <f>Services110697479848994991041091141191261311361411461511561615499242934394449[[#This Row],[Monthly Cost Per Unit]]*12</f>
        <v>#N/A</v>
      </c>
    </row>
    <row r="105" spans="1:8" x14ac:dyDescent="0.25">
      <c r="A105" s="75"/>
      <c r="B105" s="75"/>
      <c r="C105" s="77"/>
      <c r="D105" s="78"/>
      <c r="E105" s="79"/>
      <c r="F105" s="76"/>
      <c r="G105" s="53" t="e" cm="1">
        <f t="array" ref="G105">_xlfn.IFS(Services110697479848994991041091141191261311361411461511561615499242934394449[[#This Row],[Unit]]="Program-wide",((_xlfn.IFS(Services110697479848994991041091141191261311361411461511561615499242934394449[[#This Row],[Frequency]]="Per Year",Services110697479848994991041091141191261311361411461511561615499242934394449[[#This Row],[Cost]]/12,Services110697479848994991041091141191261311361411461511561615499242934394449[[#This Row],[Frequency]]="Per month",Services110697479848994991041091141191261311361411461511561615499242934394449[[#This Row],[Cost]],Services110697479848994991041091141191261311361411461511561615499242934394449[[#This Row],[Frequency]]="Per day",Services110697479848994991041091141191261311361411461511561615499242934394449[[#This Row],[Cost]]*30,Services110697479848994991041091141191261311361411461511561615499242934394449[[#This Row],[Frequency]]="One-time",Services110697479848994991041091141191261311361411461511561615499242934394449[[#This Row],[Cost]]/SUM($C$18,$C$19)))/$C$17),Services110697479848994991041091141191261311361411461511561615499242934394449[[#This Row],[Unit]]="Per unit/space/household",(_xlfn.IFS(Services110697479848994991041091141191261311361411461511561615499242934394449[[#This Row],[Frequency]]="Per Year",Services110697479848994991041091141191261311361411461511561615499242934394449[[#This Row],[Cost]]/12,Services110697479848994991041091141191261311361411461511561615499242934394449[[#This Row],[Frequency]]="Per month",Services110697479848994991041091141191261311361411461511561615499242934394449[[#This Row],[Cost]],Services110697479848994991041091141191261311361411461511561615499242934394449[[#This Row],[Frequency]]="Per day",Services110697479848994991041091141191261311361411461511561615499242934394449[[#This Row],[Cost]]*30,Services110697479848994991041091141191261311361411461511561615499242934394449[[#This Row],[Frequency]]="One-time",Services110697479848994991041091141191261311361411461511561615499242934394449[[#This Row],[Cost]]/SUM($C$18,$C$19))))</f>
        <v>#N/A</v>
      </c>
      <c r="H105" s="46" t="e">
        <f>Services110697479848994991041091141191261311361411461511561615499242934394449[[#This Row],[Monthly Cost Per Unit]]*12</f>
        <v>#N/A</v>
      </c>
    </row>
    <row r="106" spans="1:8" x14ac:dyDescent="0.25">
      <c r="A106" s="75"/>
      <c r="B106" s="75"/>
      <c r="C106" s="77"/>
      <c r="D106" s="78"/>
      <c r="E106" s="79"/>
      <c r="F106" s="76"/>
      <c r="G106" s="53" t="e" cm="1">
        <f t="array" ref="G106">_xlfn.IFS(Services110697479848994991041091141191261311361411461511561615499242934394449[[#This Row],[Unit]]="Program-wide",((_xlfn.IFS(Services110697479848994991041091141191261311361411461511561615499242934394449[[#This Row],[Frequency]]="Per Year",Services110697479848994991041091141191261311361411461511561615499242934394449[[#This Row],[Cost]]/12,Services110697479848994991041091141191261311361411461511561615499242934394449[[#This Row],[Frequency]]="Per month",Services110697479848994991041091141191261311361411461511561615499242934394449[[#This Row],[Cost]],Services110697479848994991041091141191261311361411461511561615499242934394449[[#This Row],[Frequency]]="Per day",Services110697479848994991041091141191261311361411461511561615499242934394449[[#This Row],[Cost]]*30,Services110697479848994991041091141191261311361411461511561615499242934394449[[#This Row],[Frequency]]="One-time",Services110697479848994991041091141191261311361411461511561615499242934394449[[#This Row],[Cost]]/SUM($C$18,$C$19)))/$C$17),Services110697479848994991041091141191261311361411461511561615499242934394449[[#This Row],[Unit]]="Per unit/space/household",(_xlfn.IFS(Services110697479848994991041091141191261311361411461511561615499242934394449[[#This Row],[Frequency]]="Per Year",Services110697479848994991041091141191261311361411461511561615499242934394449[[#This Row],[Cost]]/12,Services110697479848994991041091141191261311361411461511561615499242934394449[[#This Row],[Frequency]]="Per month",Services110697479848994991041091141191261311361411461511561615499242934394449[[#This Row],[Cost]],Services110697479848994991041091141191261311361411461511561615499242934394449[[#This Row],[Frequency]]="Per day",Services110697479848994991041091141191261311361411461511561615499242934394449[[#This Row],[Cost]]*30,Services110697479848994991041091141191261311361411461511561615499242934394449[[#This Row],[Frequency]]="One-time",Services110697479848994991041091141191261311361411461511561615499242934394449[[#This Row],[Cost]]/SUM($C$18,$C$19))))</f>
        <v>#N/A</v>
      </c>
      <c r="H106" s="46" t="e">
        <f>Services110697479848994991041091141191261311361411461511561615499242934394449[[#This Row],[Monthly Cost Per Unit]]*12</f>
        <v>#N/A</v>
      </c>
    </row>
    <row r="107" spans="1:8" x14ac:dyDescent="0.25">
      <c r="A107" s="80"/>
      <c r="B107" s="80"/>
      <c r="C107" s="82"/>
      <c r="D107" s="83"/>
      <c r="E107" s="84"/>
      <c r="F107" s="81"/>
      <c r="G107" s="55" t="e" cm="1">
        <f t="array" ref="G107">_xlfn.IFS(Services110697479848994991041091141191261311361411461511561615499242934394449[[#This Row],[Unit]]="Program-wide",((_xlfn.IFS(Services110697479848994991041091141191261311361411461511561615499242934394449[[#This Row],[Frequency]]="Per Year",Services110697479848994991041091141191261311361411461511561615499242934394449[[#This Row],[Cost]]/12,Services110697479848994991041091141191261311361411461511561615499242934394449[[#This Row],[Frequency]]="Per month",Services110697479848994991041091141191261311361411461511561615499242934394449[[#This Row],[Cost]],Services110697479848994991041091141191261311361411461511561615499242934394449[[#This Row],[Frequency]]="Per day",Services110697479848994991041091141191261311361411461511561615499242934394449[[#This Row],[Cost]]*30,Services110697479848994991041091141191261311361411461511561615499242934394449[[#This Row],[Frequency]]="One-time",Services110697479848994991041091141191261311361411461511561615499242934394449[[#This Row],[Cost]]/SUM($C$18,$C$19)))/$C$17),Services110697479848994991041091141191261311361411461511561615499242934394449[[#This Row],[Unit]]="Per unit/space/household",(_xlfn.IFS(Services110697479848994991041091141191261311361411461511561615499242934394449[[#This Row],[Frequency]]="Per Year",Services110697479848994991041091141191261311361411461511561615499242934394449[[#This Row],[Cost]]/12,Services110697479848994991041091141191261311361411461511561615499242934394449[[#This Row],[Frequency]]="Per month",Services110697479848994991041091141191261311361411461511561615499242934394449[[#This Row],[Cost]],Services110697479848994991041091141191261311361411461511561615499242934394449[[#This Row],[Frequency]]="Per day",Services110697479848994991041091141191261311361411461511561615499242934394449[[#This Row],[Cost]]*30,Services110697479848994991041091141191261311361411461511561615499242934394449[[#This Row],[Frequency]]="One-time",Services110697479848994991041091141191261311361411461511561615499242934394449[[#This Row],[Cost]]/SUM($C$18,$C$19))))</f>
        <v>#N/A</v>
      </c>
      <c r="H107" s="46" t="e">
        <f>Services110697479848994991041091141191261311361411461511561615499242934394449[[#This Row],[Monthly Cost Per Unit]]*12</f>
        <v>#N/A</v>
      </c>
    </row>
    <row r="108" spans="1:8" x14ac:dyDescent="0.25">
      <c r="A108" s="107" t="s">
        <v>20</v>
      </c>
      <c r="B108" s="107"/>
      <c r="C108" s="108" t="s">
        <v>68</v>
      </c>
      <c r="D108" s="109"/>
      <c r="E108" s="108"/>
      <c r="F108" s="108"/>
      <c r="G108" s="118"/>
      <c r="H108" s="111">
        <f>(SUMIF(Services110697479848994991041091141191261311361411461511561615499242934394449[Duration],"While homeless only",Services110697479848994991041091141191261311361411461511561615499242934394449[Monthly Cost Per Unit]))*12</f>
        <v>0</v>
      </c>
    </row>
    <row r="109" spans="1:8" x14ac:dyDescent="0.25">
      <c r="A109" s="112"/>
      <c r="B109" s="112"/>
      <c r="C109" s="108" t="s">
        <v>63</v>
      </c>
      <c r="D109" s="109"/>
      <c r="E109" s="108"/>
      <c r="F109" s="108"/>
      <c r="G109" s="111"/>
      <c r="H109" s="111">
        <f>(SUMIF(Services110697479848994991041091141191261311361411461511561615499242934394449[Duration],"While housed only",Services110697479848994991041091141191261311361411461511561615499242934394449[Monthly Cost Per Unit]))*12</f>
        <v>0</v>
      </c>
    </row>
    <row r="110" spans="1:8" x14ac:dyDescent="0.25">
      <c r="A110" s="112"/>
      <c r="B110" s="112"/>
      <c r="C110" s="108" t="s">
        <v>58</v>
      </c>
      <c r="D110" s="109"/>
      <c r="E110" s="108"/>
      <c r="F110" s="108"/>
      <c r="G110" s="111"/>
      <c r="H110" s="111">
        <f>(SUMIF(Services110697479848994991041091141191261311361411461511561615499242934394449[Duration],"Homeless &amp; housed",Services110697479848994991041091141191261311361411461511561615499242934394449[Monthly Cost Per Unit]))*12</f>
        <v>0</v>
      </c>
    </row>
    <row r="111" spans="1:8" ht="15.75" thickBot="1" x14ac:dyDescent="0.3">
      <c r="A111" s="113"/>
      <c r="B111" s="113"/>
      <c r="C111" s="114" t="s">
        <v>207</v>
      </c>
      <c r="D111" s="115"/>
      <c r="E111" s="114"/>
      <c r="F111" s="114"/>
      <c r="G111" s="117"/>
      <c r="H111" s="117">
        <f>(SUMIF(Services110697479848994991041091141191261311361411461511561615499242934394449[Duration],"N/A",Services110697479848994991041091141191261311361411461511561615499242934394449[Monthly Cost Per Unit]))*12</f>
        <v>0</v>
      </c>
    </row>
    <row r="112" spans="1:8" ht="16.5" thickTop="1" thickBot="1" x14ac:dyDescent="0.3">
      <c r="A112" s="113"/>
      <c r="B112" s="113"/>
      <c r="C112" s="114" t="s">
        <v>42</v>
      </c>
      <c r="D112" s="115"/>
      <c r="E112" s="114"/>
      <c r="F112" s="114"/>
      <c r="G112" s="117"/>
      <c r="H112" s="117">
        <f>SUM(H108:H111)</f>
        <v>0</v>
      </c>
    </row>
    <row r="113" spans="1:9" ht="15.75" thickTop="1" x14ac:dyDescent="0.25">
      <c r="A113"/>
      <c r="F113"/>
      <c r="G113"/>
      <c r="H113" s="128"/>
    </row>
    <row r="114" spans="1:9" x14ac:dyDescent="0.25">
      <c r="A114" s="274" t="s">
        <v>90</v>
      </c>
      <c r="B114" s="274"/>
      <c r="C114" s="274"/>
      <c r="D114" s="274"/>
      <c r="E114" s="274"/>
      <c r="F114" s="274"/>
      <c r="G114" s="274"/>
      <c r="H114" s="274"/>
    </row>
    <row r="115" spans="1:9" ht="33" customHeight="1" outlineLevel="1" x14ac:dyDescent="0.25">
      <c r="A115" s="294" t="s">
        <v>91</v>
      </c>
      <c r="B115" s="294"/>
      <c r="C115" s="294"/>
      <c r="D115" s="294"/>
      <c r="E115" s="294"/>
      <c r="F115" s="294"/>
      <c r="G115" s="294"/>
      <c r="H115" s="294"/>
    </row>
    <row r="116" spans="1:9" s="3" customFormat="1" ht="28.35" customHeight="1" x14ac:dyDescent="0.25">
      <c r="A116" s="131" t="s">
        <v>51</v>
      </c>
      <c r="B116" s="131" t="s">
        <v>52</v>
      </c>
      <c r="C116" s="131" t="s">
        <v>53</v>
      </c>
      <c r="D116" s="131" t="s">
        <v>54</v>
      </c>
      <c r="E116" s="131" t="s">
        <v>55</v>
      </c>
      <c r="F116" s="131" t="s">
        <v>56</v>
      </c>
      <c r="G116" s="131" t="s">
        <v>57</v>
      </c>
      <c r="H116" s="132" t="s">
        <v>20</v>
      </c>
    </row>
    <row r="117" spans="1:9" x14ac:dyDescent="0.25">
      <c r="A117" s="75"/>
      <c r="B117" s="75"/>
      <c r="C117" s="77"/>
      <c r="D117" s="78"/>
      <c r="E117" s="79"/>
      <c r="F117" s="79"/>
      <c r="G117" s="53" t="e" cm="1">
        <f t="array" ref="G117">_xlfn.IFS(Other11170758085909510010511011512012713213714214715215716255100253035404550[[#This Row],[Unit]]="Program-wide",((_xlfn.IFS(Other11170758085909510010511011512012713213714214715215716255100253035404550[[#This Row],[Frequency]]="Per Year",Other11170758085909510010511011512012713213714214715215716255100253035404550[[#This Row],[Cost]]/12,Other11170758085909510010511011512012713213714214715215716255100253035404550[[#This Row],[Frequency]]="Per month",Other11170758085909510010511011512012713213714214715215716255100253035404550[[#This Row],[Cost]],Other11170758085909510010511011512012713213714214715215716255100253035404550[[#This Row],[Frequency]]="Per day",Other11170758085909510010511011512012713213714214715215716255100253035404550[[#This Row],[Cost]]*30,Other11170758085909510010511011512012713213714214715215716255100253035404550[[#This Row],[Frequency]]="One-time",Other11170758085909510010511011512012713213714214715215716255100253035404550[[#This Row],[Cost]]/SUM($C$18,$C$19)))/$C$17),Other11170758085909510010511011512012713213714214715215716255100253035404550[[#This Row],[Unit]]="Per unit/space/household",(_xlfn.IFS(Other11170758085909510010511011512012713213714214715215716255100253035404550[[#This Row],[Frequency]]="Per Year",Other11170758085909510010511011512012713213714214715215716255100253035404550[[#This Row],[Cost]]/12,Other11170758085909510010511011512012713213714214715215716255100253035404550[[#This Row],[Frequency]]="Per month",Other11170758085909510010511011512012713213714214715215716255100253035404550[[#This Row],[Cost]],Other11170758085909510010511011512012713213714214715215716255100253035404550[[#This Row],[Frequency]]="Per day",Other11170758085909510010511011512012713213714214715215716255100253035404550[[#This Row],[Cost]]*30,Other11170758085909510010511011512012713213714214715215716255100253035404550[[#This Row],[Frequency]]="One-time",Other11170758085909510010511011512012713213714214715215716255100253035404550[[#This Row],[Cost]]/SUM($C$18,$C$19))))</f>
        <v>#N/A</v>
      </c>
      <c r="H117" s="46" t="e">
        <f>Other11170758085909510010511011512012713213714214715215716255100253035404550[[#This Row],[Monthly Cost Per Unit]]*12</f>
        <v>#N/A</v>
      </c>
    </row>
    <row r="118" spans="1:9" x14ac:dyDescent="0.25">
      <c r="A118" s="75"/>
      <c r="B118" s="75"/>
      <c r="C118" s="77"/>
      <c r="D118" s="78"/>
      <c r="E118" s="79"/>
      <c r="F118" s="79"/>
      <c r="G118" s="53" t="e" cm="1">
        <f t="array" ref="G118">_xlfn.IFS(Other11170758085909510010511011512012713213714214715215716255100253035404550[[#This Row],[Unit]]="Program-wide",((_xlfn.IFS(Other11170758085909510010511011512012713213714214715215716255100253035404550[[#This Row],[Frequency]]="Per Year",Other11170758085909510010511011512012713213714214715215716255100253035404550[[#This Row],[Cost]]/12,Other11170758085909510010511011512012713213714214715215716255100253035404550[[#This Row],[Frequency]]="Per month",Other11170758085909510010511011512012713213714214715215716255100253035404550[[#This Row],[Cost]],Other11170758085909510010511011512012713213714214715215716255100253035404550[[#This Row],[Frequency]]="Per day",Other11170758085909510010511011512012713213714214715215716255100253035404550[[#This Row],[Cost]]*30,Other11170758085909510010511011512012713213714214715215716255100253035404550[[#This Row],[Frequency]]="One-time",Other11170758085909510010511011512012713213714214715215716255100253035404550[[#This Row],[Cost]]/SUM($C$18,$C$19)))/$C$17),Other11170758085909510010511011512012713213714214715215716255100253035404550[[#This Row],[Unit]]="Per unit/space/household",(_xlfn.IFS(Other11170758085909510010511011512012713213714214715215716255100253035404550[[#This Row],[Frequency]]="Per Year",Other11170758085909510010511011512012713213714214715215716255100253035404550[[#This Row],[Cost]]/12,Other11170758085909510010511011512012713213714214715215716255100253035404550[[#This Row],[Frequency]]="Per month",Other11170758085909510010511011512012713213714214715215716255100253035404550[[#This Row],[Cost]],Other11170758085909510010511011512012713213714214715215716255100253035404550[[#This Row],[Frequency]]="Per day",Other11170758085909510010511011512012713213714214715215716255100253035404550[[#This Row],[Cost]]*30,Other11170758085909510010511011512012713213714214715215716255100253035404550[[#This Row],[Frequency]]="One-time",Other11170758085909510010511011512012713213714214715215716255100253035404550[[#This Row],[Cost]]/SUM($C$18,$C$19))))</f>
        <v>#N/A</v>
      </c>
      <c r="H118" s="46" t="e">
        <f>Other11170758085909510010511011512012713213714214715215716255100253035404550[[#This Row],[Monthly Cost Per Unit]]*12</f>
        <v>#N/A</v>
      </c>
    </row>
    <row r="119" spans="1:9" x14ac:dyDescent="0.25">
      <c r="A119" s="75"/>
      <c r="B119" s="75"/>
      <c r="C119" s="77"/>
      <c r="D119" s="78"/>
      <c r="E119" s="79"/>
      <c r="F119" s="79"/>
      <c r="G119" s="53" t="e" cm="1">
        <f t="array" ref="G119">_xlfn.IFS(Other11170758085909510010511011512012713213714214715215716255100253035404550[[#This Row],[Unit]]="Program-wide",((_xlfn.IFS(Other11170758085909510010511011512012713213714214715215716255100253035404550[[#This Row],[Frequency]]="Per Year",Other11170758085909510010511011512012713213714214715215716255100253035404550[[#This Row],[Cost]]/12,Other11170758085909510010511011512012713213714214715215716255100253035404550[[#This Row],[Frequency]]="Per month",Other11170758085909510010511011512012713213714214715215716255100253035404550[[#This Row],[Cost]],Other11170758085909510010511011512012713213714214715215716255100253035404550[[#This Row],[Frequency]]="Per day",Other11170758085909510010511011512012713213714214715215716255100253035404550[[#This Row],[Cost]]*30,Other11170758085909510010511011512012713213714214715215716255100253035404550[[#This Row],[Frequency]]="One-time",Other11170758085909510010511011512012713213714214715215716255100253035404550[[#This Row],[Cost]]/SUM($C$18,$C$19)))/$C$17),Other11170758085909510010511011512012713213714214715215716255100253035404550[[#This Row],[Unit]]="Per unit/space/household",(_xlfn.IFS(Other11170758085909510010511011512012713213714214715215716255100253035404550[[#This Row],[Frequency]]="Per Year",Other11170758085909510010511011512012713213714214715215716255100253035404550[[#This Row],[Cost]]/12,Other11170758085909510010511011512012713213714214715215716255100253035404550[[#This Row],[Frequency]]="Per month",Other11170758085909510010511011512012713213714214715215716255100253035404550[[#This Row],[Cost]],Other11170758085909510010511011512012713213714214715215716255100253035404550[[#This Row],[Frequency]]="Per day",Other11170758085909510010511011512012713213714214715215716255100253035404550[[#This Row],[Cost]]*30,Other11170758085909510010511011512012713213714214715215716255100253035404550[[#This Row],[Frequency]]="One-time",Other11170758085909510010511011512012713213714214715215716255100253035404550[[#This Row],[Cost]]/SUM($C$18,$C$19))))</f>
        <v>#N/A</v>
      </c>
      <c r="H119" s="46" t="e">
        <f>Other11170758085909510010511011512012713213714214715215716255100253035404550[[#This Row],[Monthly Cost Per Unit]]*12</f>
        <v>#N/A</v>
      </c>
    </row>
    <row r="120" spans="1:9" x14ac:dyDescent="0.25">
      <c r="A120" s="75"/>
      <c r="B120" s="75"/>
      <c r="C120" s="77"/>
      <c r="D120" s="78"/>
      <c r="E120" s="79"/>
      <c r="F120" s="79"/>
      <c r="G120" s="53" t="e" cm="1">
        <f t="array" ref="G120">_xlfn.IFS(Other11170758085909510010511011512012713213714214715215716255100253035404550[[#This Row],[Unit]]="Program-wide",((_xlfn.IFS(Other11170758085909510010511011512012713213714214715215716255100253035404550[[#This Row],[Frequency]]="Per Year",Other11170758085909510010511011512012713213714214715215716255100253035404550[[#This Row],[Cost]]/12,Other11170758085909510010511011512012713213714214715215716255100253035404550[[#This Row],[Frequency]]="Per month",Other11170758085909510010511011512012713213714214715215716255100253035404550[[#This Row],[Cost]],Other11170758085909510010511011512012713213714214715215716255100253035404550[[#This Row],[Frequency]]="Per day",Other11170758085909510010511011512012713213714214715215716255100253035404550[[#This Row],[Cost]]*30,Other11170758085909510010511011512012713213714214715215716255100253035404550[[#This Row],[Frequency]]="One-time",Other11170758085909510010511011512012713213714214715215716255100253035404550[[#This Row],[Cost]]/SUM($C$18,$C$19)))/$C$17),Other11170758085909510010511011512012713213714214715215716255100253035404550[[#This Row],[Unit]]="Per unit/space/household",(_xlfn.IFS(Other11170758085909510010511011512012713213714214715215716255100253035404550[[#This Row],[Frequency]]="Per Year",Other11170758085909510010511011512012713213714214715215716255100253035404550[[#This Row],[Cost]]/12,Other11170758085909510010511011512012713213714214715215716255100253035404550[[#This Row],[Frequency]]="Per month",Other11170758085909510010511011512012713213714214715215716255100253035404550[[#This Row],[Cost]],Other11170758085909510010511011512012713213714214715215716255100253035404550[[#This Row],[Frequency]]="Per day",Other11170758085909510010511011512012713213714214715215716255100253035404550[[#This Row],[Cost]]*30,Other11170758085909510010511011512012713213714214715215716255100253035404550[[#This Row],[Frequency]]="One-time",Other11170758085909510010511011512012713213714214715215716255100253035404550[[#This Row],[Cost]]/SUM($C$18,$C$19))))</f>
        <v>#N/A</v>
      </c>
      <c r="H120" s="46" t="e">
        <f>Other11170758085909510010511011512012713213714214715215716255100253035404550[[#This Row],[Monthly Cost Per Unit]]*12</f>
        <v>#N/A</v>
      </c>
    </row>
    <row r="121" spans="1:9" s="1" customFormat="1" x14ac:dyDescent="0.25">
      <c r="A121" s="80"/>
      <c r="B121" s="80"/>
      <c r="C121" s="82"/>
      <c r="D121" s="83"/>
      <c r="E121" s="84"/>
      <c r="F121" s="84"/>
      <c r="G121" s="55" t="e" cm="1">
        <f t="array" ref="G121">_xlfn.IFS(Other11170758085909510010511011512012713213714214715215716255100253035404550[[#This Row],[Unit]]="Program-wide",((_xlfn.IFS(Other11170758085909510010511011512012713213714214715215716255100253035404550[[#This Row],[Frequency]]="Per Year",Other11170758085909510010511011512012713213714214715215716255100253035404550[[#This Row],[Cost]]/12,Other11170758085909510010511011512012713213714214715215716255100253035404550[[#This Row],[Frequency]]="Per month",Other11170758085909510010511011512012713213714214715215716255100253035404550[[#This Row],[Cost]],Other11170758085909510010511011512012713213714214715215716255100253035404550[[#This Row],[Frequency]]="Per day",Other11170758085909510010511011512012713213714214715215716255100253035404550[[#This Row],[Cost]]*30,Other11170758085909510010511011512012713213714214715215716255100253035404550[[#This Row],[Frequency]]="One-time",Other11170758085909510010511011512012713213714214715215716255100253035404550[[#This Row],[Cost]]/SUM($C$18,$C$19)))/$C$17),Other11170758085909510010511011512012713213714214715215716255100253035404550[[#This Row],[Unit]]="Per unit/space/household",(_xlfn.IFS(Other11170758085909510010511011512012713213714214715215716255100253035404550[[#This Row],[Frequency]]="Per Year",Other11170758085909510010511011512012713213714214715215716255100253035404550[[#This Row],[Cost]]/12,Other11170758085909510010511011512012713213714214715215716255100253035404550[[#This Row],[Frequency]]="Per month",Other11170758085909510010511011512012713213714214715215716255100253035404550[[#This Row],[Cost]],Other11170758085909510010511011512012713213714214715215716255100253035404550[[#This Row],[Frequency]]="Per day",Other11170758085909510010511011512012713213714214715215716255100253035404550[[#This Row],[Cost]]*30,Other11170758085909510010511011512012713213714214715215716255100253035404550[[#This Row],[Frequency]]="One-time",Other11170758085909510010511011512012713213714214715215716255100253035404550[[#This Row],[Cost]]/SUM($C$18,$C$19))))</f>
        <v>#N/A</v>
      </c>
      <c r="H121" s="46" t="e">
        <f>Other11170758085909510010511011512012713213714214715215716255100253035404550[[#This Row],[Monthly Cost Per Unit]]*12</f>
        <v>#N/A</v>
      </c>
      <c r="I121"/>
    </row>
    <row r="122" spans="1:9" x14ac:dyDescent="0.25">
      <c r="A122" s="107" t="s">
        <v>20</v>
      </c>
      <c r="B122" s="107"/>
      <c r="C122" s="108" t="s">
        <v>68</v>
      </c>
      <c r="D122" s="109"/>
      <c r="E122" s="108"/>
      <c r="F122" s="108"/>
      <c r="G122" s="118"/>
      <c r="H122" s="111">
        <f>(SUMIF(Other11170758085909510010511011512012713213714214715215716255100253035404550[Duration],"While homeless only",Other11170758085909510010511011512012713213714214715215716255100253035404550[Monthly Cost Per Unit]))*12</f>
        <v>0</v>
      </c>
    </row>
    <row r="123" spans="1:9" x14ac:dyDescent="0.25">
      <c r="A123" s="112"/>
      <c r="B123" s="112"/>
      <c r="C123" s="108" t="s">
        <v>63</v>
      </c>
      <c r="D123" s="109"/>
      <c r="E123" s="108"/>
      <c r="F123" s="108"/>
      <c r="G123" s="111"/>
      <c r="H123" s="111">
        <f>(SUMIF(Other11170758085909510010511011512012713213714214715215716255100253035404550[Duration],"While housed only",Other11170758085909510010511011512012713213714214715215716255100253035404550[Monthly Cost Per Unit]))*12</f>
        <v>0</v>
      </c>
    </row>
    <row r="124" spans="1:9" x14ac:dyDescent="0.25">
      <c r="A124" s="112"/>
      <c r="B124" s="112"/>
      <c r="C124" s="108" t="s">
        <v>58</v>
      </c>
      <c r="D124" s="109"/>
      <c r="E124" s="108"/>
      <c r="F124" s="108"/>
      <c r="G124" s="111"/>
      <c r="H124" s="111">
        <f>(SUMIF(Other11170758085909510010511011512012713213714214715215716255100253035404550[Duration],"Homeless &amp; housed",Other11170758085909510010511011512012713213714214715215716255100253035404550[Monthly Cost Per Unit]))*12</f>
        <v>0</v>
      </c>
    </row>
    <row r="125" spans="1:9" ht="15.75" thickBot="1" x14ac:dyDescent="0.3">
      <c r="A125" s="113"/>
      <c r="B125" s="113"/>
      <c r="C125" s="114" t="s">
        <v>207</v>
      </c>
      <c r="D125" s="115"/>
      <c r="E125" s="114"/>
      <c r="F125" s="114"/>
      <c r="G125" s="117"/>
      <c r="H125" s="117">
        <f>(SUMIF(Other11170758085909510010511011512012713213714214715215716255100253035404550[Duration],"N/A",Other11170758085909510010511011512012713213714214715215716255100253035404550[Monthly Cost Per Unit]))*12</f>
        <v>0</v>
      </c>
    </row>
    <row r="126" spans="1:9" ht="16.5" thickTop="1" thickBot="1" x14ac:dyDescent="0.3">
      <c r="A126" s="113"/>
      <c r="B126" s="113"/>
      <c r="C126" s="114" t="s">
        <v>42</v>
      </c>
      <c r="D126" s="115"/>
      <c r="E126" s="114"/>
      <c r="F126" s="114"/>
      <c r="G126" s="117"/>
      <c r="H126" s="117">
        <f>SUM(H122:H125)</f>
        <v>0</v>
      </c>
    </row>
    <row r="127" spans="1:9" ht="15.75" thickTop="1" x14ac:dyDescent="0.25"/>
    <row r="128" spans="1:9" x14ac:dyDescent="0.25">
      <c r="A128" s="269" t="s">
        <v>92</v>
      </c>
      <c r="B128" s="269"/>
      <c r="C128" s="269"/>
      <c r="D128" s="269"/>
      <c r="E128" s="269"/>
      <c r="F128" s="269"/>
      <c r="G128" s="269"/>
      <c r="H128" s="269"/>
    </row>
    <row r="129" spans="1:8" x14ac:dyDescent="0.25">
      <c r="A129" s="304" t="s">
        <v>20</v>
      </c>
      <c r="B129" s="147"/>
      <c r="C129" s="108" t="s">
        <v>68</v>
      </c>
      <c r="D129" s="109"/>
      <c r="E129" s="108"/>
      <c r="F129" s="108"/>
      <c r="G129" s="118"/>
      <c r="H129" s="111">
        <f>SUM(H32,H53,H86, H108,H122)</f>
        <v>0</v>
      </c>
    </row>
    <row r="130" spans="1:8" x14ac:dyDescent="0.25">
      <c r="A130" s="305"/>
      <c r="B130" s="148"/>
      <c r="C130" s="108" t="s">
        <v>63</v>
      </c>
      <c r="D130" s="109"/>
      <c r="E130" s="108"/>
      <c r="F130" s="108"/>
      <c r="G130" s="111"/>
      <c r="H130" s="111">
        <f>SUM(H33,H54,H87, H109,H123)</f>
        <v>0</v>
      </c>
    </row>
    <row r="131" spans="1:8" x14ac:dyDescent="0.25">
      <c r="A131" s="305"/>
      <c r="B131" s="148"/>
      <c r="C131" s="108" t="s">
        <v>58</v>
      </c>
      <c r="D131" s="109"/>
      <c r="E131" s="108"/>
      <c r="F131" s="108"/>
      <c r="G131" s="111"/>
      <c r="H131" s="111">
        <f>SUM(H34,H55,H88, H110,H124)</f>
        <v>0</v>
      </c>
    </row>
    <row r="132" spans="1:8" ht="15.75" thickBot="1" x14ac:dyDescent="0.3">
      <c r="A132" s="305"/>
      <c r="B132" s="148"/>
      <c r="C132" s="114" t="s">
        <v>207</v>
      </c>
      <c r="D132" s="115"/>
      <c r="E132" s="114"/>
      <c r="F132" s="114"/>
      <c r="G132" s="117"/>
      <c r="H132" s="149">
        <f>SUM(H35,H56,H89, H111,H125)</f>
        <v>0</v>
      </c>
    </row>
    <row r="133" spans="1:8" ht="16.5" thickTop="1" thickBot="1" x14ac:dyDescent="0.3">
      <c r="A133" s="306"/>
      <c r="B133" s="150"/>
      <c r="C133" s="130" t="s">
        <v>42</v>
      </c>
      <c r="D133" s="130"/>
      <c r="E133" s="130"/>
      <c r="F133" s="130"/>
      <c r="G133" s="151"/>
      <c r="H133" s="117">
        <f>SUM(H36,H57,H90, H112,H126)</f>
        <v>0</v>
      </c>
    </row>
    <row r="134" spans="1:8" ht="15.75" thickTop="1" x14ac:dyDescent="0.25"/>
  </sheetData>
  <sheetProtection sheet="1" formatCells="0" formatColumns="0" formatRows="0" insertRows="0"/>
  <mergeCells count="41">
    <mergeCell ref="A128:H128"/>
    <mergeCell ref="A129:A133"/>
    <mergeCell ref="A25:H25"/>
    <mergeCell ref="A38:H38"/>
    <mergeCell ref="A39:H39"/>
    <mergeCell ref="A59:H59"/>
    <mergeCell ref="A60:H60"/>
    <mergeCell ref="A61:F61"/>
    <mergeCell ref="A62:F62"/>
    <mergeCell ref="A74:F74"/>
    <mergeCell ref="G74:H74"/>
    <mergeCell ref="A75:H75"/>
    <mergeCell ref="A92:H92"/>
    <mergeCell ref="A93:H93"/>
    <mergeCell ref="A114:H114"/>
    <mergeCell ref="A115:H115"/>
    <mergeCell ref="C19:D19"/>
    <mergeCell ref="A16:D16"/>
    <mergeCell ref="A15:D15"/>
    <mergeCell ref="A10:B10"/>
    <mergeCell ref="C10:D10"/>
    <mergeCell ref="A11:B11"/>
    <mergeCell ref="C11:D11"/>
    <mergeCell ref="A12:B12"/>
    <mergeCell ref="C12:D12"/>
    <mergeCell ref="A22:H22"/>
    <mergeCell ref="A24:H24"/>
    <mergeCell ref="A2:H2"/>
    <mergeCell ref="A7:D7"/>
    <mergeCell ref="A9:D9"/>
    <mergeCell ref="F9:G9"/>
    <mergeCell ref="A13:B13"/>
    <mergeCell ref="C13:D13"/>
    <mergeCell ref="A4:D4"/>
    <mergeCell ref="A5:B5"/>
    <mergeCell ref="C5:D5"/>
    <mergeCell ref="A17:B17"/>
    <mergeCell ref="C17:D17"/>
    <mergeCell ref="A18:B18"/>
    <mergeCell ref="C18:D18"/>
    <mergeCell ref="A19:B19"/>
  </mergeCells>
  <dataValidations count="12">
    <dataValidation type="custom" allowBlank="1" showInputMessage="1" showErrorMessage="1" prompt="This would be the amount of time a client is enrolled in the program before they have a housing move-in date in HMIS." sqref="C18:D18" xr:uid="{F62EA651-B2A1-4EA1-9E79-14BBF81180C2}">
      <formula1>ISNUMBER(VALUE(C18))</formula1>
    </dataValidation>
    <dataValidation type="custom" allowBlank="1" showInputMessage="1" showErrorMessage="1" prompt="This would be the amount of time a client is enrolled in the program after they have a housing move-in date in HMIS." sqref="C19:D19" xr:uid="{9C03F8A9-62A3-418D-B2FB-B0D4E507DB31}">
      <formula1>ISNUMBER(VALUE(C19))</formula1>
    </dataValidation>
    <dataValidation allowBlank="1" showInputMessage="1" showErrorMessage="1" prompt="This would be the amount of time a client is enrolled in the program before they have a housing move-in date in HMIS." sqref="A18:B18" xr:uid="{22697815-2520-446D-BC2C-DACDFB9C30D1}"/>
    <dataValidation allowBlank="1" showInputMessage="1" showErrorMessage="1" prompt="This would be the amount of time a client is enrolled in the program after they have a housing move-in date in HMIS." sqref="A19:B20 D20" xr:uid="{4C6A4889-4EAE-4D43-BD49-C6D13F40859D}"/>
    <dataValidation allowBlank="1" showInputMessage="1" showErrorMessage="1" prompt="This column is auto-calculated based on the average rental cost and average utility cost per unit information." sqref="F63:F72" xr:uid="{CA799419-79F7-41E3-9CC0-C43005961E2F}"/>
    <dataValidation allowBlank="1" showInputMessage="1" showErrorMessage="1" prompt="This field required a selection from a drop-down menu. To find this menu, click on the cell and click the down arrow on the right-hand of the cell. " sqref="C26 C40 C76 C94 C116" xr:uid="{CEDE4A88-D748-44FC-AF75-F736D32E7D00}"/>
    <dataValidation allowBlank="1" showInputMessage="1" showErrorMessage="1" prompt="This field required a selection from a drop-down menu. To find this menu, click on the cell and click the down arrow on the right-hand of the cell." sqref="E26:F26 E40:F40 E76:F76 E94:F94 E116:F116" xr:uid="{4FC1028B-44FC-455F-8BD3-F59EC9A924BE}"/>
    <dataValidation allowBlank="1" showInputMessage="1" showErrorMessage="1" prompt="_x000a_" sqref="G13" xr:uid="{69C7145C-BB39-4B60-9D5C-DBEC5BAA91F7}"/>
    <dataValidation type="custom" allowBlank="1" showInputMessage="1" showErrorMessage="1" sqref="D27:D31 D41:D52 D77:D85 D95:D107 D117:D121 B64:E71" xr:uid="{BD809EE3-9400-4754-BDD5-CA219B7CFC6F}">
      <formula1>ISNUMBER(VALUE(B27))</formula1>
    </dataValidation>
    <dataValidation allowBlank="1" showErrorMessage="1" sqref="C20 F14:G14" xr:uid="{5EC13499-5A53-4D0C-8AA9-7AD574CF6223}"/>
    <dataValidation allowBlank="1" showInputMessage="1" showErrorMessage="1" prompt="Project capacity is the number of units available at a point in time. Depending on the project type, a unit may represent a rental subsidy, a room or bed in a congregate setting, a motel room, a supportive services slot, etc." sqref="A17:B17" xr:uid="{5586FF4A-7ADA-4FCF-B40B-B137C080C39F}"/>
    <dataValidation type="custom" allowBlank="1" showInputMessage="1" showErrorMessage="1" prompt="Project capacity is the number of units available at a point in time. Depending on the project type, a unit may represent a rental subsidy, a room or bed in a congregate setting, a motel room, a supportive services slot, etc." sqref="C17:D17" xr:uid="{023A5838-9FB4-40EF-ADE7-8844E11EDDF7}">
      <formula1>ISNUMBER(VALUE(C17))</formula1>
    </dataValidation>
  </dataValidations>
  <pageMargins left="0.7" right="0.7" top="0.75" bottom="0.75" header="0.3" footer="0.3"/>
  <pageSetup orientation="portrait" horizontalDpi="90" verticalDpi="90" r:id="rId1"/>
  <tableParts count="5">
    <tablePart r:id="rId2"/>
    <tablePart r:id="rId3"/>
    <tablePart r:id="rId4"/>
    <tablePart r:id="rId5"/>
    <tablePart r:id="rId6"/>
  </tableParts>
  <extLst>
    <ext xmlns:x14="http://schemas.microsoft.com/office/spreadsheetml/2009/9/main" uri="{CCE6A557-97BC-4b89-ADB6-D9C93CAAB3DF}">
      <x14:dataValidations xmlns:xm="http://schemas.microsoft.com/office/excel/2006/main" count="9">
        <x14:dataValidation type="list" allowBlank="1" showInputMessage="1" showErrorMessage="1" prompt="This field required a selection from a drop-down menu. To find this menu, click on the cell and click the down arrow on the right-hand of the cell. " xr:uid="{B76592CE-C0E6-4413-9976-99DD0669085B}">
          <x14:formula1>
            <xm:f>Allowable!$E$2:$E$4</xm:f>
          </x14:formula1>
          <xm:sqref>C117:C121 C95:C107 C77:C85</xm:sqref>
        </x14:dataValidation>
        <x14:dataValidation type="list" allowBlank="1" showInputMessage="1" showErrorMessage="1" xr:uid="{54BA515F-4579-485E-B67F-73317FF10CA8}">
          <x14:formula1>
            <xm:f>Allowable!$B$2:$B$3</xm:f>
          </x14:formula1>
          <xm:sqref>F58</xm:sqref>
        </x14:dataValidation>
        <x14:dataValidation type="list" allowBlank="1" showInputMessage="1" showErrorMessage="1" xr:uid="{B9E46AD6-E3E3-40A6-AA08-CC6CDE84464F}">
          <x14:formula1>
            <xm:f>Allowable!$A$2:$A$5</xm:f>
          </x14:formula1>
          <xm:sqref>E58</xm:sqref>
        </x14:dataValidation>
        <x14:dataValidation type="list" allowBlank="1" showInputMessage="1" showErrorMessage="1" prompt="This field required a selection from a drop-down menu. To find this menu, click on the cell and click the down arrow on the right-hand of the cell." xr:uid="{D74E6315-1E21-4702-94C9-D19703F9D775}">
          <x14:formula1>
            <xm:f>Allowable!$A$2:$A$5</xm:f>
          </x14:formula1>
          <xm:sqref>E27:E31 E41:E52</xm:sqref>
        </x14:dataValidation>
        <x14:dataValidation type="list" allowBlank="1" showInputMessage="1" showErrorMessage="1" prompt="This field required a selection from a drop-down menu. To find this menu, click on the cell and click the down arrow on the right-hand of the cell. " xr:uid="{E879A337-7813-4677-A69B-0C7537A57D03}">
          <x14:formula1>
            <xm:f>Allowable!$A$2:$A$5</xm:f>
          </x14:formula1>
          <xm:sqref>E41:E52 E77:E85 E95:E107 E117:E121</xm:sqref>
        </x14:dataValidation>
        <x14:dataValidation type="list" allowBlank="1" showInputMessage="1" showErrorMessage="1" prompt="This field required a selection from a drop-down menu. To find this menu, click on the cell and click the down arrow on the right-hand of the cell. " xr:uid="{ED5AB76B-B34E-40CC-B4B1-25586A2FAE00}">
          <x14:formula1>
            <xm:f>Allowable!$B$2:$B$3</xm:f>
          </x14:formula1>
          <xm:sqref>F41:F52 F77:F85 F95:F107 F117:F121</xm:sqref>
        </x14:dataValidation>
        <x14:dataValidation type="list" allowBlank="1" showInputMessage="1" showErrorMessage="1" prompt="This field required a selection from a drop-down menu. To find this menu, click on the cell and click the down arrow on the right-hand of the cell." xr:uid="{EE9CDAF3-86A5-4901-8D6E-3516BD86E5B6}">
          <x14:formula1>
            <xm:f>Allowable!$B$2:$B$3</xm:f>
          </x14:formula1>
          <xm:sqref>F27:F31</xm:sqref>
        </x14:dataValidation>
        <x14:dataValidation type="list" allowBlank="1" showInputMessage="1" showErrorMessage="1" xr:uid="{F2C7447E-329A-498B-8227-D6216F15CDE0}">
          <x14:formula1>
            <xm:f>Allowable!$D$2:$D$13</xm:f>
          </x14:formula1>
          <xm:sqref>C11:D11</xm:sqref>
        </x14:dataValidation>
        <x14:dataValidation type="list" allowBlank="1" showInputMessage="1" showErrorMessage="1" prompt="This field required a selection from a drop-down menu. To find this menu, click on the cell and click the down arrow on the right-hand of the cell. " xr:uid="{5669980F-7085-4536-B371-ED230A70E30F}">
          <x14:formula1>
            <xm:f>Allowable!$E$2:$E$5</xm:f>
          </x14:formula1>
          <xm:sqref>C27:C31 C41:C52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B7A21-BCAD-442E-B1E2-F5342C607219}">
  <sheetPr>
    <tabColor theme="8" tint="0.79998168889431442"/>
  </sheetPr>
  <dimension ref="A2:I134"/>
  <sheetViews>
    <sheetView showGridLines="0" zoomScaleNormal="100" workbookViewId="0">
      <selection activeCell="A128" sqref="A128:H128"/>
    </sheetView>
  </sheetViews>
  <sheetFormatPr defaultColWidth="8.7109375" defaultRowHeight="15" outlineLevelRow="1" x14ac:dyDescent="0.25"/>
  <cols>
    <col min="1" max="1" width="27.140625" style="3" customWidth="1"/>
    <col min="2" max="2" width="21.140625" customWidth="1"/>
    <col min="3" max="3" width="18.5703125" customWidth="1"/>
    <col min="4" max="5" width="14.42578125" customWidth="1"/>
    <col min="6" max="6" width="22.85546875" style="128" customWidth="1"/>
    <col min="7" max="7" width="13.5703125" style="128" customWidth="1"/>
    <col min="8" max="8" width="13.140625" customWidth="1"/>
    <col min="9" max="9" width="10.5703125" customWidth="1"/>
    <col min="10" max="10" width="10.42578125" customWidth="1"/>
    <col min="11" max="11" width="22.5703125" customWidth="1"/>
    <col min="12" max="12" width="14.85546875" customWidth="1"/>
  </cols>
  <sheetData>
    <row r="2" spans="1:8" ht="26.25" x14ac:dyDescent="0.4">
      <c r="A2" s="288" t="str">
        <f>CONCATENATE("Comparable Projects for ", 'Model Project Type'!D10, " Cost Assumptions")</f>
        <v>Comparable Projects for  Cost Assumptions</v>
      </c>
      <c r="B2" s="288"/>
      <c r="C2" s="288"/>
      <c r="D2" s="288"/>
      <c r="E2" s="288"/>
      <c r="F2" s="288"/>
      <c r="G2" s="288"/>
      <c r="H2" s="288"/>
    </row>
    <row r="3" spans="1:8" ht="19.5" customHeight="1" x14ac:dyDescent="0.25"/>
    <row r="4" spans="1:8" ht="26.1" customHeight="1" x14ac:dyDescent="0.4">
      <c r="A4" s="273" t="s">
        <v>1</v>
      </c>
      <c r="B4" s="273"/>
      <c r="C4" s="273"/>
      <c r="D4" s="273"/>
    </row>
    <row r="5" spans="1:8" ht="30.6" customHeight="1" x14ac:dyDescent="0.25">
      <c r="A5" s="292" t="s">
        <v>109</v>
      </c>
      <c r="B5" s="292"/>
      <c r="C5" s="293" t="str">
        <f>IF('Model Project Type'!D10 = 0, " ", 'Model Project Type'!D10)</f>
        <v xml:space="preserve"> </v>
      </c>
      <c r="D5" s="293"/>
    </row>
    <row r="6" spans="1:8" ht="20.100000000000001" customHeight="1" x14ac:dyDescent="0.25">
      <c r="A6"/>
      <c r="F6"/>
      <c r="G6"/>
    </row>
    <row r="7" spans="1:8" ht="26.1" customHeight="1" x14ac:dyDescent="0.4">
      <c r="A7" s="273" t="s">
        <v>35</v>
      </c>
      <c r="B7" s="273"/>
      <c r="C7" s="273"/>
      <c r="D7" s="273"/>
    </row>
    <row r="8" spans="1:8" ht="5.45" customHeight="1" x14ac:dyDescent="0.4">
      <c r="A8" s="36"/>
      <c r="B8" s="36"/>
      <c r="C8" s="36"/>
      <c r="D8" s="36"/>
      <c r="F8" s="129"/>
      <c r="G8" s="129"/>
    </row>
    <row r="9" spans="1:8" ht="20.100000000000001" customHeight="1" x14ac:dyDescent="0.25">
      <c r="A9" s="289" t="s">
        <v>36</v>
      </c>
      <c r="B9" s="289"/>
      <c r="C9" s="289"/>
      <c r="D9" s="289"/>
      <c r="F9" s="308" t="s">
        <v>37</v>
      </c>
      <c r="G9" s="308"/>
    </row>
    <row r="10" spans="1:8" ht="19.7" customHeight="1" x14ac:dyDescent="0.25">
      <c r="A10" s="290" t="s">
        <v>38</v>
      </c>
      <c r="B10" s="290"/>
      <c r="C10" s="311"/>
      <c r="D10" s="311"/>
      <c r="F10" s="108" t="s">
        <v>68</v>
      </c>
      <c r="G10" s="111">
        <f>H129</f>
        <v>0</v>
      </c>
    </row>
    <row r="11" spans="1:8" ht="19.7" customHeight="1" x14ac:dyDescent="0.25">
      <c r="A11" s="286" t="s">
        <v>39</v>
      </c>
      <c r="B11" s="286"/>
      <c r="C11" s="310"/>
      <c r="D11" s="310"/>
      <c r="F11" s="108" t="s">
        <v>63</v>
      </c>
      <c r="G11" s="111">
        <f>H130</f>
        <v>0</v>
      </c>
    </row>
    <row r="12" spans="1:8" ht="19.7" customHeight="1" x14ac:dyDescent="0.25">
      <c r="A12" s="287" t="s">
        <v>40</v>
      </c>
      <c r="B12" s="287"/>
      <c r="C12" s="307"/>
      <c r="D12" s="307"/>
      <c r="F12" s="108" t="s">
        <v>58</v>
      </c>
      <c r="G12" s="111">
        <f>H131</f>
        <v>0</v>
      </c>
    </row>
    <row r="13" spans="1:8" ht="19.7" customHeight="1" thickBot="1" x14ac:dyDescent="0.3">
      <c r="A13" s="286" t="s">
        <v>41</v>
      </c>
      <c r="B13" s="286"/>
      <c r="C13" s="307"/>
      <c r="D13" s="307"/>
      <c r="F13" s="114" t="s">
        <v>207</v>
      </c>
      <c r="G13" s="117">
        <f>H132</f>
        <v>0</v>
      </c>
    </row>
    <row r="14" spans="1:8" ht="19.7" customHeight="1" thickTop="1" thickBot="1" x14ac:dyDescent="0.3">
      <c r="A14" s="7"/>
      <c r="B14" s="40"/>
      <c r="C14" s="35"/>
      <c r="D14" s="34"/>
      <c r="F14" s="130" t="s">
        <v>42</v>
      </c>
      <c r="G14" s="117">
        <f>H133</f>
        <v>0</v>
      </c>
    </row>
    <row r="15" spans="1:8" ht="19.7" customHeight="1" thickTop="1" x14ac:dyDescent="0.25">
      <c r="A15" s="280" t="s">
        <v>43</v>
      </c>
      <c r="B15" s="280"/>
      <c r="C15" s="280"/>
      <c r="D15" s="280"/>
    </row>
    <row r="16" spans="1:8" ht="44.45" customHeight="1" x14ac:dyDescent="0.25">
      <c r="A16" s="281" t="s">
        <v>44</v>
      </c>
      <c r="B16" s="282"/>
      <c r="C16" s="282"/>
      <c r="D16" s="282"/>
    </row>
    <row r="17" spans="1:9" ht="18.600000000000001" customHeight="1" x14ac:dyDescent="0.25">
      <c r="A17" s="283" t="s">
        <v>45</v>
      </c>
      <c r="B17" s="283"/>
      <c r="C17" s="309"/>
      <c r="D17" s="309"/>
    </row>
    <row r="18" spans="1:9" ht="44.45" customHeight="1" x14ac:dyDescent="0.25">
      <c r="A18" s="275" t="s">
        <v>46</v>
      </c>
      <c r="B18" s="275"/>
      <c r="C18" s="310"/>
      <c r="D18" s="310"/>
    </row>
    <row r="19" spans="1:9" ht="44.45" customHeight="1" x14ac:dyDescent="0.25">
      <c r="A19" s="275" t="s">
        <v>47</v>
      </c>
      <c r="B19" s="275"/>
      <c r="C19" s="307"/>
      <c r="D19" s="307"/>
    </row>
    <row r="20" spans="1:9" ht="14.1" customHeight="1" x14ac:dyDescent="0.25">
      <c r="A20" s="33"/>
      <c r="B20" s="33"/>
      <c r="C20" s="39"/>
      <c r="D20" s="35"/>
    </row>
    <row r="21" spans="1:9" ht="17.45" customHeight="1" x14ac:dyDescent="0.25">
      <c r="A21" s="4"/>
      <c r="B21" s="4"/>
      <c r="C21" s="35"/>
      <c r="D21" s="35"/>
    </row>
    <row r="22" spans="1:9" ht="21" customHeight="1" x14ac:dyDescent="0.4">
      <c r="A22" s="277" t="s">
        <v>48</v>
      </c>
      <c r="B22" s="277"/>
      <c r="C22" s="277"/>
      <c r="D22" s="277"/>
      <c r="E22" s="277"/>
      <c r="F22" s="277"/>
      <c r="G22" s="277"/>
      <c r="H22" s="277"/>
    </row>
    <row r="23" spans="1:9" ht="6.6" customHeight="1" x14ac:dyDescent="0.25">
      <c r="A23" s="32"/>
      <c r="B23" s="30"/>
      <c r="C23" s="30"/>
      <c r="D23" s="30"/>
      <c r="F23" s="129"/>
      <c r="G23" s="129"/>
    </row>
    <row r="24" spans="1:9" x14ac:dyDescent="0.25">
      <c r="A24" s="274" t="s">
        <v>49</v>
      </c>
      <c r="B24" s="274"/>
      <c r="C24" s="274"/>
      <c r="D24" s="274"/>
      <c r="E24" s="274"/>
      <c r="F24" s="274"/>
      <c r="G24" s="274"/>
      <c r="H24" s="274"/>
    </row>
    <row r="25" spans="1:9" ht="30.75" customHeight="1" outlineLevel="1" x14ac:dyDescent="0.25">
      <c r="A25" s="294" t="s">
        <v>50</v>
      </c>
      <c r="B25" s="294"/>
      <c r="C25" s="294"/>
      <c r="D25" s="294"/>
      <c r="E25" s="294"/>
      <c r="F25" s="294"/>
      <c r="G25" s="294"/>
      <c r="H25" s="294"/>
    </row>
    <row r="26" spans="1:9" s="3" customFormat="1" ht="28.35" customHeight="1" x14ac:dyDescent="0.25">
      <c r="A26" s="131" t="s">
        <v>51</v>
      </c>
      <c r="B26" s="131" t="s">
        <v>52</v>
      </c>
      <c r="C26" s="131" t="s">
        <v>53</v>
      </c>
      <c r="D26" s="131" t="s">
        <v>54</v>
      </c>
      <c r="E26" s="131" t="s">
        <v>55</v>
      </c>
      <c r="F26" s="131" t="s">
        <v>56</v>
      </c>
      <c r="G26" s="131" t="s">
        <v>57</v>
      </c>
      <c r="H26" s="132" t="s">
        <v>20</v>
      </c>
    </row>
    <row r="27" spans="1:9" x14ac:dyDescent="0.25">
      <c r="A27" s="75"/>
      <c r="B27" s="76"/>
      <c r="C27" s="77"/>
      <c r="D27" s="78"/>
      <c r="E27" s="79"/>
      <c r="F27" s="79"/>
      <c r="G27" s="53" t="e" cm="1">
        <f t="array" ref="G27">_xlfn.IFS(Administrative1766717681869196101106111116123128133138143148153158519621263136414651[[#This Row],[Unit]]="Program-wide",((_xlfn.IFS(Administrative1766717681869196101106111116123128133138143148153158519621263136414651[[#This Row],[Frequency]]="Per Year",Administrative1766717681869196101106111116123128133138143148153158519621263136414651[[#This Row],[Cost]]/12,Administrative1766717681869196101106111116123128133138143148153158519621263136414651[[#This Row],[Frequency]]="Per month",Administrative1766717681869196101106111116123128133138143148153158519621263136414651[[#This Row],[Cost]],Administrative1766717681869196101106111116123128133138143148153158519621263136414651[[#This Row],[Frequency]]="Per day",Administrative1766717681869196101106111116123128133138143148153158519621263136414651[[#This Row],[Cost]]*30,Administrative1766717681869196101106111116123128133138143148153158519621263136414651[[#This Row],[Frequency]]="One-time",Administrative1766717681869196101106111116123128133138143148153158519621263136414651[[#This Row],[Cost]]/SUM(C18,C19)))/$C$17),Administrative1766717681869196101106111116123128133138143148153158519621263136414651[[#This Row],[Unit]]="Per unit/space/household",(_xlfn.IFS(Administrative1766717681869196101106111116123128133138143148153158519621263136414651[[#This Row],[Frequency]]="Per Year",Administrative1766717681869196101106111116123128133138143148153158519621263136414651[[#This Row],[Cost]]/12,Administrative1766717681869196101106111116123128133138143148153158519621263136414651[[#This Row],[Frequency]]="Per month",Administrative1766717681869196101106111116123128133138143148153158519621263136414651[[#This Row],[Cost]],Administrative1766717681869196101106111116123128133138143148153158519621263136414651[[#This Row],[Frequency]]="Per day",Administrative1766717681869196101106111116123128133138143148153158519621263136414651[[#This Row],[Cost]]*30,Administrative1766717681869196101106111116123128133138143148153158519621263136414651[[#This Row],[Frequency]]="One-time",Administrative1766717681869196101106111116123128133138143148153158519621263136414651[[#This Row],[Cost]]/SUM($C$18,$C$19))))</f>
        <v>#N/A</v>
      </c>
      <c r="H27" s="46" t="e">
        <f>Administrative1766717681869196101106111116123128133138143148153158519621263136414651[[#This Row],[Monthly Cost Per Unit]]*12</f>
        <v>#N/A</v>
      </c>
    </row>
    <row r="28" spans="1:9" x14ac:dyDescent="0.25">
      <c r="A28" s="75"/>
      <c r="B28" s="76"/>
      <c r="C28" s="77"/>
      <c r="D28" s="78"/>
      <c r="E28" s="79"/>
      <c r="F28" s="79"/>
      <c r="G28" s="53" t="e" cm="1">
        <f t="array" ref="G28">_xlfn.IFS(Administrative1766717681869196101106111116123128133138143148153158519621263136414651[[#This Row],[Unit]]="Program-wide",((_xlfn.IFS(Administrative1766717681869196101106111116123128133138143148153158519621263136414651[[#This Row],[Frequency]]="Per Year",Administrative1766717681869196101106111116123128133138143148153158519621263136414651[[#This Row],[Cost]]/12,Administrative1766717681869196101106111116123128133138143148153158519621263136414651[[#This Row],[Frequency]]="Per month",Administrative1766717681869196101106111116123128133138143148153158519621263136414651[[#This Row],[Cost]],Administrative1766717681869196101106111116123128133138143148153158519621263136414651[[#This Row],[Frequency]]="Per day",Administrative1766717681869196101106111116123128133138143148153158519621263136414651[[#This Row],[Cost]]*30,Administrative1766717681869196101106111116123128133138143148153158519621263136414651[[#This Row],[Frequency]]="One-time",Administrative1766717681869196101106111116123128133138143148153158519621263136414651[[#This Row],[Cost]]/SUM(C18,C19)))/$C$17),Administrative1766717681869196101106111116123128133138143148153158519621263136414651[[#This Row],[Unit]]="Per unit/space/household",(_xlfn.IFS(Administrative1766717681869196101106111116123128133138143148153158519621263136414651[[#This Row],[Frequency]]="Per Year",Administrative1766717681869196101106111116123128133138143148153158519621263136414651[[#This Row],[Cost]]/12,Administrative1766717681869196101106111116123128133138143148153158519621263136414651[[#This Row],[Frequency]]="Per month",Administrative1766717681869196101106111116123128133138143148153158519621263136414651[[#This Row],[Cost]],Administrative1766717681869196101106111116123128133138143148153158519621263136414651[[#This Row],[Frequency]]="Per day",Administrative1766717681869196101106111116123128133138143148153158519621263136414651[[#This Row],[Cost]]*30,Administrative1766717681869196101106111116123128133138143148153158519621263136414651[[#This Row],[Frequency]]="One-time",Administrative1766717681869196101106111116123128133138143148153158519621263136414651[[#This Row],[Cost]]/SUM($C$18,$C$19))))</f>
        <v>#N/A</v>
      </c>
      <c r="H28" s="46" t="e">
        <f>Administrative1766717681869196101106111116123128133138143148153158519621263136414651[[#This Row],[Monthly Cost Per Unit]]*12</f>
        <v>#N/A</v>
      </c>
    </row>
    <row r="29" spans="1:9" x14ac:dyDescent="0.25">
      <c r="A29" s="75"/>
      <c r="B29" s="76"/>
      <c r="C29" s="77"/>
      <c r="D29" s="78"/>
      <c r="E29" s="79"/>
      <c r="F29" s="79"/>
      <c r="G29" s="53" t="e" cm="1">
        <f t="array" ref="G29">_xlfn.IFS(Administrative1766717681869196101106111116123128133138143148153158519621263136414651[[#This Row],[Unit]]="Program-wide",((_xlfn.IFS(Administrative1766717681869196101106111116123128133138143148153158519621263136414651[[#This Row],[Frequency]]="Per Year",Administrative1766717681869196101106111116123128133138143148153158519621263136414651[[#This Row],[Cost]]/12,Administrative1766717681869196101106111116123128133138143148153158519621263136414651[[#This Row],[Frequency]]="Per month",Administrative1766717681869196101106111116123128133138143148153158519621263136414651[[#This Row],[Cost]],Administrative1766717681869196101106111116123128133138143148153158519621263136414651[[#This Row],[Frequency]]="Per day",Administrative1766717681869196101106111116123128133138143148153158519621263136414651[[#This Row],[Cost]]*30,Administrative1766717681869196101106111116123128133138143148153158519621263136414651[[#This Row],[Frequency]]="One-time",Administrative1766717681869196101106111116123128133138143148153158519621263136414651[[#This Row],[Cost]]/SUM(C18,C19)))/$C$17),Administrative1766717681869196101106111116123128133138143148153158519621263136414651[[#This Row],[Unit]]="Per unit/space/household",(_xlfn.IFS(Administrative1766717681869196101106111116123128133138143148153158519621263136414651[[#This Row],[Frequency]]="Per Year",Administrative1766717681869196101106111116123128133138143148153158519621263136414651[[#This Row],[Cost]]/12,Administrative1766717681869196101106111116123128133138143148153158519621263136414651[[#This Row],[Frequency]]="Per month",Administrative1766717681869196101106111116123128133138143148153158519621263136414651[[#This Row],[Cost]],Administrative1766717681869196101106111116123128133138143148153158519621263136414651[[#This Row],[Frequency]]="Per day",Administrative1766717681869196101106111116123128133138143148153158519621263136414651[[#This Row],[Cost]]*30,Administrative1766717681869196101106111116123128133138143148153158519621263136414651[[#This Row],[Frequency]]="One-time",Administrative1766717681869196101106111116123128133138143148153158519621263136414651[[#This Row],[Cost]]/SUM($C$18,$C$19))))</f>
        <v>#N/A</v>
      </c>
      <c r="H29" s="46" t="e">
        <f>Administrative1766717681869196101106111116123128133138143148153158519621263136414651[[#This Row],[Monthly Cost Per Unit]]*12</f>
        <v>#N/A</v>
      </c>
    </row>
    <row r="30" spans="1:9" x14ac:dyDescent="0.25">
      <c r="A30" s="75"/>
      <c r="B30" s="76"/>
      <c r="C30" s="77"/>
      <c r="D30" s="78"/>
      <c r="E30" s="79"/>
      <c r="F30" s="79"/>
      <c r="G30" s="53" t="e" cm="1">
        <f t="array" ref="G30">_xlfn.IFS(Administrative1766717681869196101106111116123128133138143148153158519621263136414651[[#This Row],[Unit]]="Program-wide",((_xlfn.IFS(Administrative1766717681869196101106111116123128133138143148153158519621263136414651[[#This Row],[Frequency]]="Per Year",Administrative1766717681869196101106111116123128133138143148153158519621263136414651[[#This Row],[Cost]]/12,Administrative1766717681869196101106111116123128133138143148153158519621263136414651[[#This Row],[Frequency]]="Per month",Administrative1766717681869196101106111116123128133138143148153158519621263136414651[[#This Row],[Cost]],Administrative1766717681869196101106111116123128133138143148153158519621263136414651[[#This Row],[Frequency]]="Per day",Administrative1766717681869196101106111116123128133138143148153158519621263136414651[[#This Row],[Cost]]*30,Administrative1766717681869196101106111116123128133138143148153158519621263136414651[[#This Row],[Frequency]]="One-time",Administrative1766717681869196101106111116123128133138143148153158519621263136414651[[#This Row],[Cost]]/SUM(C18,C19)))/$C$17),Administrative1766717681869196101106111116123128133138143148153158519621263136414651[[#This Row],[Unit]]="Per unit/space/household",(_xlfn.IFS(Administrative1766717681869196101106111116123128133138143148153158519621263136414651[[#This Row],[Frequency]]="Per Year",Administrative1766717681869196101106111116123128133138143148153158519621263136414651[[#This Row],[Cost]]/12,Administrative1766717681869196101106111116123128133138143148153158519621263136414651[[#This Row],[Frequency]]="Per month",Administrative1766717681869196101106111116123128133138143148153158519621263136414651[[#This Row],[Cost]],Administrative1766717681869196101106111116123128133138143148153158519621263136414651[[#This Row],[Frequency]]="Per day",Administrative1766717681869196101106111116123128133138143148153158519621263136414651[[#This Row],[Cost]]*30,Administrative1766717681869196101106111116123128133138143148153158519621263136414651[[#This Row],[Frequency]]="One-time",Administrative1766717681869196101106111116123128133138143148153158519621263136414651[[#This Row],[Cost]]/SUM($C$18,$C$19))))</f>
        <v>#N/A</v>
      </c>
      <c r="H30" s="46" t="e">
        <f>Administrative1766717681869196101106111116123128133138143148153158519621263136414651[[#This Row],[Monthly Cost Per Unit]]*12</f>
        <v>#N/A</v>
      </c>
    </row>
    <row r="31" spans="1:9" s="1" customFormat="1" x14ac:dyDescent="0.25">
      <c r="A31" s="80"/>
      <c r="B31" s="81"/>
      <c r="C31" s="82"/>
      <c r="D31" s="83"/>
      <c r="E31" s="84"/>
      <c r="F31" s="84"/>
      <c r="G31" s="54" t="e" cm="1">
        <f t="array" ref="G31">_xlfn.IFS(Administrative1766717681869196101106111116123128133138143148153158519621263136414651[[#This Row],[Unit]]="Program-wide",((_xlfn.IFS(Administrative1766717681869196101106111116123128133138143148153158519621263136414651[[#This Row],[Frequency]]="Per Year",Administrative1766717681869196101106111116123128133138143148153158519621263136414651[[#This Row],[Cost]]/12,Administrative1766717681869196101106111116123128133138143148153158519621263136414651[[#This Row],[Frequency]]="Per month",Administrative1766717681869196101106111116123128133138143148153158519621263136414651[[#This Row],[Cost]],Administrative1766717681869196101106111116123128133138143148153158519621263136414651[[#This Row],[Frequency]]="Per day",Administrative1766717681869196101106111116123128133138143148153158519621263136414651[[#This Row],[Cost]]*30,Administrative1766717681869196101106111116123128133138143148153158519621263136414651[[#This Row],[Frequency]]="One-time",Administrative1766717681869196101106111116123128133138143148153158519621263136414651[[#This Row],[Cost]]/SUM(C18,C19)))/$C$17),Administrative1766717681869196101106111116123128133138143148153158519621263136414651[[#This Row],[Unit]]="Per unit/space/household",(_xlfn.IFS(Administrative1766717681869196101106111116123128133138143148153158519621263136414651[[#This Row],[Frequency]]="Per Year",Administrative1766717681869196101106111116123128133138143148153158519621263136414651[[#This Row],[Cost]]/12,Administrative1766717681869196101106111116123128133138143148153158519621263136414651[[#This Row],[Frequency]]="Per month",Administrative1766717681869196101106111116123128133138143148153158519621263136414651[[#This Row],[Cost]],Administrative1766717681869196101106111116123128133138143148153158519621263136414651[[#This Row],[Frequency]]="Per day",Administrative1766717681869196101106111116123128133138143148153158519621263136414651[[#This Row],[Cost]]*30,Administrative1766717681869196101106111116123128133138143148153158519621263136414651[[#This Row],[Frequency]]="One-time",Administrative1766717681869196101106111116123128133138143148153158519621263136414651[[#This Row],[Cost]]/SUM($C$18,$C$19))))</f>
        <v>#N/A</v>
      </c>
      <c r="H31" s="46" t="e">
        <f>Administrative1766717681869196101106111116123128133138143148153158519621263136414651[[#This Row],[Monthly Cost Per Unit]]*12</f>
        <v>#N/A</v>
      </c>
      <c r="I31"/>
    </row>
    <row r="32" spans="1:9" x14ac:dyDescent="0.25">
      <c r="A32" s="107" t="s">
        <v>20</v>
      </c>
      <c r="B32" s="107"/>
      <c r="C32" s="108" t="s">
        <v>68</v>
      </c>
      <c r="D32" s="109"/>
      <c r="E32" s="108"/>
      <c r="F32" s="108"/>
      <c r="G32" s="110"/>
      <c r="H32" s="111">
        <f>(SUMIF(Administrative1766717681869196101106111116123128133138143148153158519621263136414651[Duration],"While homeless only",Administrative1766717681869196101106111116123128133138143148153158519621263136414651[Monthly Cost Per Unit]))*12</f>
        <v>0</v>
      </c>
    </row>
    <row r="33" spans="1:8" x14ac:dyDescent="0.25">
      <c r="A33" s="112"/>
      <c r="B33" s="112"/>
      <c r="C33" s="108" t="s">
        <v>63</v>
      </c>
      <c r="D33" s="109"/>
      <c r="E33" s="108"/>
      <c r="F33" s="108"/>
      <c r="G33" s="110"/>
      <c r="H33" s="111">
        <f>(SUMIF(Administrative1766717681869196101106111116123128133138143148153158519621263136414651[Duration],"While housed only",Administrative1766717681869196101106111116123128133138143148153158519621263136414651[Monthly Cost Per Unit]))*12</f>
        <v>0</v>
      </c>
    </row>
    <row r="34" spans="1:8" x14ac:dyDescent="0.25">
      <c r="A34" s="112"/>
      <c r="B34" s="112"/>
      <c r="C34" s="108" t="s">
        <v>58</v>
      </c>
      <c r="D34" s="109"/>
      <c r="E34" s="108"/>
      <c r="F34" s="108"/>
      <c r="G34" s="110"/>
      <c r="H34" s="111">
        <f>(SUMIF(Administrative1766717681869196101106111116123128133138143148153158519621263136414651[Duration],"Homeless &amp; housed",Administrative1766717681869196101106111116123128133138143148153158519621263136414651[Monthly Cost Per Unit]))*12</f>
        <v>0</v>
      </c>
    </row>
    <row r="35" spans="1:8" ht="15.75" thickBot="1" x14ac:dyDescent="0.3">
      <c r="A35" s="113"/>
      <c r="B35" s="113"/>
      <c r="C35" s="114" t="s">
        <v>207</v>
      </c>
      <c r="D35" s="115"/>
      <c r="E35" s="114"/>
      <c r="F35" s="114"/>
      <c r="G35" s="116"/>
      <c r="H35" s="117">
        <f>(SUMIF(Administrative1766717681869196101106111116123128133138143148153158519621263136414651[Duration],"N/A",Administrative1766717681869196101106111116123128133138143148153158519621263136414651[Monthly Cost Per Unit]))*12</f>
        <v>0</v>
      </c>
    </row>
    <row r="36" spans="1:8" ht="16.5" thickTop="1" thickBot="1" x14ac:dyDescent="0.3">
      <c r="A36" s="113"/>
      <c r="B36" s="113"/>
      <c r="C36" s="114" t="s">
        <v>42</v>
      </c>
      <c r="D36" s="115"/>
      <c r="E36" s="114"/>
      <c r="F36" s="114"/>
      <c r="G36" s="133"/>
      <c r="H36" s="117">
        <f>SUM(H32:H35)</f>
        <v>0</v>
      </c>
    </row>
    <row r="37" spans="1:8" ht="15.75" thickTop="1" x14ac:dyDescent="0.25">
      <c r="A37" s="10"/>
      <c r="B37" s="10"/>
      <c r="C37" s="10"/>
      <c r="D37" s="10"/>
      <c r="F37" s="129"/>
      <c r="G37" s="129"/>
    </row>
    <row r="38" spans="1:8" x14ac:dyDescent="0.25">
      <c r="A38" s="274" t="s">
        <v>61</v>
      </c>
      <c r="B38" s="274"/>
      <c r="C38" s="274"/>
      <c r="D38" s="274"/>
      <c r="E38" s="274"/>
      <c r="F38" s="274"/>
      <c r="G38" s="274"/>
      <c r="H38" s="274"/>
    </row>
    <row r="39" spans="1:8" ht="30" customHeight="1" outlineLevel="1" x14ac:dyDescent="0.25">
      <c r="A39" s="294" t="s">
        <v>62</v>
      </c>
      <c r="B39" s="294"/>
      <c r="C39" s="294"/>
      <c r="D39" s="294"/>
      <c r="E39" s="294"/>
      <c r="F39" s="294"/>
      <c r="G39" s="294"/>
      <c r="H39" s="294"/>
    </row>
    <row r="40" spans="1:8" s="3" customFormat="1" ht="28.35" customHeight="1" x14ac:dyDescent="0.25">
      <c r="A40" s="131" t="s">
        <v>51</v>
      </c>
      <c r="B40" s="131" t="s">
        <v>52</v>
      </c>
      <c r="C40" s="131" t="s">
        <v>53</v>
      </c>
      <c r="D40" s="131" t="s">
        <v>54</v>
      </c>
      <c r="E40" s="131" t="s">
        <v>55</v>
      </c>
      <c r="F40" s="131" t="s">
        <v>56</v>
      </c>
      <c r="G40" s="131" t="s">
        <v>57</v>
      </c>
      <c r="H40" s="132" t="s">
        <v>20</v>
      </c>
    </row>
    <row r="41" spans="1:8" x14ac:dyDescent="0.25">
      <c r="A41" s="75"/>
      <c r="B41" s="76"/>
      <c r="C41" s="88"/>
      <c r="D41" s="89"/>
      <c r="E41" s="79"/>
      <c r="F41" s="79"/>
      <c r="G41" s="53" t="e" cm="1">
        <f t="array" ref="G41">_xlfn.IFS(Operations1867727782879297102107112117124129134139144149154159529722273237424752[[#This Row],[Unit]]="Program-wide",((_xlfn.IFS(Operations1867727782879297102107112117124129134139144149154159529722273237424752[[#This Row],[Frequency]]="Per Year",Operations1867727782879297102107112117124129134139144149154159529722273237424752[[#This Row],[Cost]]/12,Operations1867727782879297102107112117124129134139144149154159529722273237424752[[#This Row],[Frequency]]="Per month",Operations1867727782879297102107112117124129134139144149154159529722273237424752[[#This Row],[Cost]],Operations1867727782879297102107112117124129134139144149154159529722273237424752[[#This Row],[Frequency]]="Per day",Operations1867727782879297102107112117124129134139144149154159529722273237424752[[#This Row],[Cost]]*30,Operations1867727782879297102107112117124129134139144149154159529722273237424752[[#This Row],[Frequency]]="One-time",Operations1867727782879297102107112117124129134139144149154159529722273237424752[[#This Row],[Cost]]/SUM(C18,C19)))/$C$17),Operations1867727782879297102107112117124129134139144149154159529722273237424752[[#This Row],[Unit]]="Per unit/space/household",(_xlfn.IFS(Operations1867727782879297102107112117124129134139144149154159529722273237424752[[#This Row],[Frequency]]="Per Year",Operations1867727782879297102107112117124129134139144149154159529722273237424752[[#This Row],[Cost]]/12,Operations1867727782879297102107112117124129134139144149154159529722273237424752[[#This Row],[Frequency]]="Per month",Operations1867727782879297102107112117124129134139144149154159529722273237424752[[#This Row],[Cost]],Operations1867727782879297102107112117124129134139144149154159529722273237424752[[#This Row],[Frequency]]="Per day",Operations1867727782879297102107112117124129134139144149154159529722273237424752[[#This Row],[Cost]]*30,Operations1867727782879297102107112117124129134139144149154159529722273237424752[[#This Row],[Frequency]]="One-time",Operations1867727782879297102107112117124129134139144149154159529722273237424752[[#This Row],[Cost]]/SUM($C$18,$C$19))))</f>
        <v>#N/A</v>
      </c>
      <c r="H41" s="46" t="e">
        <f>Operations1867727782879297102107112117124129134139144149154159529722273237424752[[#This Row],[Monthly Cost Per Unit]]*12</f>
        <v>#N/A</v>
      </c>
    </row>
    <row r="42" spans="1:8" x14ac:dyDescent="0.25">
      <c r="A42" s="75"/>
      <c r="B42" s="76"/>
      <c r="C42" s="77"/>
      <c r="D42" s="78"/>
      <c r="E42" s="79"/>
      <c r="F42" s="79"/>
      <c r="G42" s="53" t="e" cm="1">
        <f t="array" ref="G42">_xlfn.IFS(Operations1867727782879297102107112117124129134139144149154159529722273237424752[[#This Row],[Unit]]="Program-wide",((_xlfn.IFS(Operations1867727782879297102107112117124129134139144149154159529722273237424752[[#This Row],[Frequency]]="Per Year",Operations1867727782879297102107112117124129134139144149154159529722273237424752[[#This Row],[Cost]]/12,Operations1867727782879297102107112117124129134139144149154159529722273237424752[[#This Row],[Frequency]]="Per month",Operations1867727782879297102107112117124129134139144149154159529722273237424752[[#This Row],[Cost]],Operations1867727782879297102107112117124129134139144149154159529722273237424752[[#This Row],[Frequency]]="Per day",Operations1867727782879297102107112117124129134139144149154159529722273237424752[[#This Row],[Cost]]*30,Operations1867727782879297102107112117124129134139144149154159529722273237424752[[#This Row],[Frequency]]="One-time",Operations1867727782879297102107112117124129134139144149154159529722273237424752[[#This Row],[Cost]]/SUM($C$18,$C$19)))/$C$17),Operations1867727782879297102107112117124129134139144149154159529722273237424752[[#This Row],[Unit]]="Per unit/space/household",(_xlfn.IFS(Operations1867727782879297102107112117124129134139144149154159529722273237424752[[#This Row],[Frequency]]="Per Year",Operations1867727782879297102107112117124129134139144149154159529722273237424752[[#This Row],[Cost]]/12,Operations1867727782879297102107112117124129134139144149154159529722273237424752[[#This Row],[Frequency]]="Per month",Operations1867727782879297102107112117124129134139144149154159529722273237424752[[#This Row],[Cost]],Operations1867727782879297102107112117124129134139144149154159529722273237424752[[#This Row],[Frequency]]="Per day",Operations1867727782879297102107112117124129134139144149154159529722273237424752[[#This Row],[Cost]]*30,Operations1867727782879297102107112117124129134139144149154159529722273237424752[[#This Row],[Frequency]]="One-time",Operations1867727782879297102107112117124129134139144149154159529722273237424752[[#This Row],[Cost]]/SUM($C$18,$C$19))))</f>
        <v>#N/A</v>
      </c>
      <c r="H42" s="46" t="e">
        <f>Operations1867727782879297102107112117124129134139144149154159529722273237424752[[#This Row],[Monthly Cost Per Unit]]*12</f>
        <v>#N/A</v>
      </c>
    </row>
    <row r="43" spans="1:8" x14ac:dyDescent="0.25">
      <c r="A43" s="75"/>
      <c r="B43" s="76"/>
      <c r="C43" s="77"/>
      <c r="D43" s="78"/>
      <c r="E43" s="79"/>
      <c r="F43" s="79"/>
      <c r="G43" s="53" t="e" cm="1">
        <f t="array" ref="G43">_xlfn.IFS(Operations1867727782879297102107112117124129134139144149154159529722273237424752[[#This Row],[Unit]]="Program-wide",((_xlfn.IFS(Operations1867727782879297102107112117124129134139144149154159529722273237424752[[#This Row],[Frequency]]="Per Year",Operations1867727782879297102107112117124129134139144149154159529722273237424752[[#This Row],[Cost]]/12,Operations1867727782879297102107112117124129134139144149154159529722273237424752[[#This Row],[Frequency]]="Per month",Operations1867727782879297102107112117124129134139144149154159529722273237424752[[#This Row],[Cost]],Operations1867727782879297102107112117124129134139144149154159529722273237424752[[#This Row],[Frequency]]="Per day",Operations1867727782879297102107112117124129134139144149154159529722273237424752[[#This Row],[Cost]]*30,Operations1867727782879297102107112117124129134139144149154159529722273237424752[[#This Row],[Frequency]]="One-time",Operations1867727782879297102107112117124129134139144149154159529722273237424752[[#This Row],[Cost]]/SUM($C$18,$C$19)))/$C$17),Operations1867727782879297102107112117124129134139144149154159529722273237424752[[#This Row],[Unit]]="Per unit/space/household",(_xlfn.IFS(Operations1867727782879297102107112117124129134139144149154159529722273237424752[[#This Row],[Frequency]]="Per Year",Operations1867727782879297102107112117124129134139144149154159529722273237424752[[#This Row],[Cost]]/12,Operations1867727782879297102107112117124129134139144149154159529722273237424752[[#This Row],[Frequency]]="Per month",Operations1867727782879297102107112117124129134139144149154159529722273237424752[[#This Row],[Cost]],Operations1867727782879297102107112117124129134139144149154159529722273237424752[[#This Row],[Frequency]]="Per day",Operations1867727782879297102107112117124129134139144149154159529722273237424752[[#This Row],[Cost]]*30,Operations1867727782879297102107112117124129134139144149154159529722273237424752[[#This Row],[Frequency]]="One-time",Operations1867727782879297102107112117124129134139144149154159529722273237424752[[#This Row],[Cost]]/SUM($C$18,$C$19))))</f>
        <v>#N/A</v>
      </c>
      <c r="H43" s="46" t="e">
        <f>Operations1867727782879297102107112117124129134139144149154159529722273237424752[[#This Row],[Monthly Cost Per Unit]]*12</f>
        <v>#N/A</v>
      </c>
    </row>
    <row r="44" spans="1:8" x14ac:dyDescent="0.25">
      <c r="A44" s="75"/>
      <c r="B44" s="76"/>
      <c r="C44" s="77"/>
      <c r="D44" s="78"/>
      <c r="E44" s="79"/>
      <c r="F44" s="79"/>
      <c r="G44" s="53" t="e" cm="1">
        <f t="array" ref="G44">_xlfn.IFS(Operations1867727782879297102107112117124129134139144149154159529722273237424752[[#This Row],[Unit]]="Program-wide",((_xlfn.IFS(Operations1867727782879297102107112117124129134139144149154159529722273237424752[[#This Row],[Frequency]]="Per Year",Operations1867727782879297102107112117124129134139144149154159529722273237424752[[#This Row],[Cost]]/12,Operations1867727782879297102107112117124129134139144149154159529722273237424752[[#This Row],[Frequency]]="Per month",Operations1867727782879297102107112117124129134139144149154159529722273237424752[[#This Row],[Cost]],Operations1867727782879297102107112117124129134139144149154159529722273237424752[[#This Row],[Frequency]]="Per day",Operations1867727782879297102107112117124129134139144149154159529722273237424752[[#This Row],[Cost]]*30,Operations1867727782879297102107112117124129134139144149154159529722273237424752[[#This Row],[Frequency]]="One-time",Operations1867727782879297102107112117124129134139144149154159529722273237424752[[#This Row],[Cost]]/SUM($C$18,$C$19)))/$C$17),Operations1867727782879297102107112117124129134139144149154159529722273237424752[[#This Row],[Unit]]="Per unit/space/household",(_xlfn.IFS(Operations1867727782879297102107112117124129134139144149154159529722273237424752[[#This Row],[Frequency]]="Per Year",Operations1867727782879297102107112117124129134139144149154159529722273237424752[[#This Row],[Cost]]/12,Operations1867727782879297102107112117124129134139144149154159529722273237424752[[#This Row],[Frequency]]="Per month",Operations1867727782879297102107112117124129134139144149154159529722273237424752[[#This Row],[Cost]],Operations1867727782879297102107112117124129134139144149154159529722273237424752[[#This Row],[Frequency]]="Per day",Operations1867727782879297102107112117124129134139144149154159529722273237424752[[#This Row],[Cost]]*30,Operations1867727782879297102107112117124129134139144149154159529722273237424752[[#This Row],[Frequency]]="One-time",Operations1867727782879297102107112117124129134139144149154159529722273237424752[[#This Row],[Cost]]/SUM($C$18,$C$19))))</f>
        <v>#N/A</v>
      </c>
      <c r="H44" s="46" t="e">
        <f>Operations1867727782879297102107112117124129134139144149154159529722273237424752[[#This Row],[Monthly Cost Per Unit]]*12</f>
        <v>#N/A</v>
      </c>
    </row>
    <row r="45" spans="1:8" x14ac:dyDescent="0.25">
      <c r="A45" s="75"/>
      <c r="B45" s="76"/>
      <c r="C45" s="77"/>
      <c r="D45" s="78"/>
      <c r="E45" s="79"/>
      <c r="F45" s="79"/>
      <c r="G45" s="53" t="e" cm="1">
        <f t="array" ref="G45">_xlfn.IFS(Operations1867727782879297102107112117124129134139144149154159529722273237424752[[#This Row],[Unit]]="Program-wide",((_xlfn.IFS(Operations1867727782879297102107112117124129134139144149154159529722273237424752[[#This Row],[Frequency]]="Per Year",Operations1867727782879297102107112117124129134139144149154159529722273237424752[[#This Row],[Cost]]/12,Operations1867727782879297102107112117124129134139144149154159529722273237424752[[#This Row],[Frequency]]="Per month",Operations1867727782879297102107112117124129134139144149154159529722273237424752[[#This Row],[Cost]],Operations1867727782879297102107112117124129134139144149154159529722273237424752[[#This Row],[Frequency]]="Per day",Operations1867727782879297102107112117124129134139144149154159529722273237424752[[#This Row],[Cost]]*30,Operations1867727782879297102107112117124129134139144149154159529722273237424752[[#This Row],[Frequency]]="One-time",Operations1867727782879297102107112117124129134139144149154159529722273237424752[[#This Row],[Cost]]/SUM($C$18,$C$19)))/$C$17),Operations1867727782879297102107112117124129134139144149154159529722273237424752[[#This Row],[Unit]]="Per unit/space/household",(_xlfn.IFS(Operations1867727782879297102107112117124129134139144149154159529722273237424752[[#This Row],[Frequency]]="Per Year",Operations1867727782879297102107112117124129134139144149154159529722273237424752[[#This Row],[Cost]]/12,Operations1867727782879297102107112117124129134139144149154159529722273237424752[[#This Row],[Frequency]]="Per month",Operations1867727782879297102107112117124129134139144149154159529722273237424752[[#This Row],[Cost]],Operations1867727782879297102107112117124129134139144149154159529722273237424752[[#This Row],[Frequency]]="Per day",Operations1867727782879297102107112117124129134139144149154159529722273237424752[[#This Row],[Cost]]*30,Operations1867727782879297102107112117124129134139144149154159529722273237424752[[#This Row],[Frequency]]="One-time",Operations1867727782879297102107112117124129134139144149154159529722273237424752[[#This Row],[Cost]]/SUM($C$18,$C$19))))</f>
        <v>#N/A</v>
      </c>
      <c r="H45" s="46" t="e">
        <f>Operations1867727782879297102107112117124129134139144149154159529722273237424752[[#This Row],[Monthly Cost Per Unit]]*12</f>
        <v>#N/A</v>
      </c>
    </row>
    <row r="46" spans="1:8" x14ac:dyDescent="0.25">
      <c r="A46" s="75"/>
      <c r="B46" s="76"/>
      <c r="C46" s="77"/>
      <c r="D46" s="78"/>
      <c r="E46" s="79"/>
      <c r="F46" s="79"/>
      <c r="G46" s="53" t="e" cm="1">
        <f t="array" ref="G46">_xlfn.IFS(Operations1867727782879297102107112117124129134139144149154159529722273237424752[[#This Row],[Unit]]="Program-wide",((_xlfn.IFS(Operations1867727782879297102107112117124129134139144149154159529722273237424752[[#This Row],[Frequency]]="Per Year",Operations1867727782879297102107112117124129134139144149154159529722273237424752[[#This Row],[Cost]]/12,Operations1867727782879297102107112117124129134139144149154159529722273237424752[[#This Row],[Frequency]]="Per month",Operations1867727782879297102107112117124129134139144149154159529722273237424752[[#This Row],[Cost]],Operations1867727782879297102107112117124129134139144149154159529722273237424752[[#This Row],[Frequency]]="Per day",Operations1867727782879297102107112117124129134139144149154159529722273237424752[[#This Row],[Cost]]*30,Operations1867727782879297102107112117124129134139144149154159529722273237424752[[#This Row],[Frequency]]="One-time",Operations1867727782879297102107112117124129134139144149154159529722273237424752[[#This Row],[Cost]]/SUM($C$18,$C$19)))/$C$17),Operations1867727782879297102107112117124129134139144149154159529722273237424752[[#This Row],[Unit]]="Per unit/space/household",(_xlfn.IFS(Operations1867727782879297102107112117124129134139144149154159529722273237424752[[#This Row],[Frequency]]="Per Year",Operations1867727782879297102107112117124129134139144149154159529722273237424752[[#This Row],[Cost]]/12,Operations1867727782879297102107112117124129134139144149154159529722273237424752[[#This Row],[Frequency]]="Per month",Operations1867727782879297102107112117124129134139144149154159529722273237424752[[#This Row],[Cost]],Operations1867727782879297102107112117124129134139144149154159529722273237424752[[#This Row],[Frequency]]="Per day",Operations1867727782879297102107112117124129134139144149154159529722273237424752[[#This Row],[Cost]]*30,Operations1867727782879297102107112117124129134139144149154159529722273237424752[[#This Row],[Frequency]]="One-time",Operations1867727782879297102107112117124129134139144149154159529722273237424752[[#This Row],[Cost]]/SUM($C$18,$C$19))))</f>
        <v>#N/A</v>
      </c>
      <c r="H46" s="46" t="e">
        <f>Operations1867727782879297102107112117124129134139144149154159529722273237424752[[#This Row],[Monthly Cost Per Unit]]*12</f>
        <v>#N/A</v>
      </c>
    </row>
    <row r="47" spans="1:8" x14ac:dyDescent="0.25">
      <c r="A47" s="75"/>
      <c r="B47" s="76"/>
      <c r="C47" s="77"/>
      <c r="D47" s="78"/>
      <c r="E47" s="79"/>
      <c r="F47" s="79"/>
      <c r="G47" s="53" t="e" cm="1">
        <f t="array" ref="G47">_xlfn.IFS(Operations1867727782879297102107112117124129134139144149154159529722273237424752[[#This Row],[Unit]]="Program-wide",((_xlfn.IFS(Operations1867727782879297102107112117124129134139144149154159529722273237424752[[#This Row],[Frequency]]="Per Year",Operations1867727782879297102107112117124129134139144149154159529722273237424752[[#This Row],[Cost]]/12,Operations1867727782879297102107112117124129134139144149154159529722273237424752[[#This Row],[Frequency]]="Per month",Operations1867727782879297102107112117124129134139144149154159529722273237424752[[#This Row],[Cost]],Operations1867727782879297102107112117124129134139144149154159529722273237424752[[#This Row],[Frequency]]="Per day",Operations1867727782879297102107112117124129134139144149154159529722273237424752[[#This Row],[Cost]]*30,Operations1867727782879297102107112117124129134139144149154159529722273237424752[[#This Row],[Frequency]]="One-time",Operations1867727782879297102107112117124129134139144149154159529722273237424752[[#This Row],[Cost]]/SUM($C$18,$C$19)))/$C$17),Operations1867727782879297102107112117124129134139144149154159529722273237424752[[#This Row],[Unit]]="Per unit/space/household",(_xlfn.IFS(Operations1867727782879297102107112117124129134139144149154159529722273237424752[[#This Row],[Frequency]]="Per Year",Operations1867727782879297102107112117124129134139144149154159529722273237424752[[#This Row],[Cost]]/12,Operations1867727782879297102107112117124129134139144149154159529722273237424752[[#This Row],[Frequency]]="Per month",Operations1867727782879297102107112117124129134139144149154159529722273237424752[[#This Row],[Cost]],Operations1867727782879297102107112117124129134139144149154159529722273237424752[[#This Row],[Frequency]]="Per day",Operations1867727782879297102107112117124129134139144149154159529722273237424752[[#This Row],[Cost]]*30,Operations1867727782879297102107112117124129134139144149154159529722273237424752[[#This Row],[Frequency]]="One-time",Operations1867727782879297102107112117124129134139144149154159529722273237424752[[#This Row],[Cost]]/SUM($C$18,$C$19))))</f>
        <v>#N/A</v>
      </c>
      <c r="H47" s="46" t="e">
        <f>Operations1867727782879297102107112117124129134139144149154159529722273237424752[[#This Row],[Monthly Cost Per Unit]]*12</f>
        <v>#N/A</v>
      </c>
    </row>
    <row r="48" spans="1:8" x14ac:dyDescent="0.25">
      <c r="A48" s="75"/>
      <c r="B48" s="76"/>
      <c r="C48" s="77"/>
      <c r="D48" s="78"/>
      <c r="E48" s="79"/>
      <c r="F48" s="79"/>
      <c r="G48" s="53" t="e" cm="1">
        <f t="array" ref="G48">_xlfn.IFS(Operations1867727782879297102107112117124129134139144149154159529722273237424752[[#This Row],[Unit]]="Program-wide",((_xlfn.IFS(Operations1867727782879297102107112117124129134139144149154159529722273237424752[[#This Row],[Frequency]]="Per Year",Operations1867727782879297102107112117124129134139144149154159529722273237424752[[#This Row],[Cost]]/12,Operations1867727782879297102107112117124129134139144149154159529722273237424752[[#This Row],[Frequency]]="Per month",Operations1867727782879297102107112117124129134139144149154159529722273237424752[[#This Row],[Cost]],Operations1867727782879297102107112117124129134139144149154159529722273237424752[[#This Row],[Frequency]]="Per day",Operations1867727782879297102107112117124129134139144149154159529722273237424752[[#This Row],[Cost]]*30,Operations1867727782879297102107112117124129134139144149154159529722273237424752[[#This Row],[Frequency]]="One-time",Operations1867727782879297102107112117124129134139144149154159529722273237424752[[#This Row],[Cost]]/SUM($C$18,$C$19)))/$C$17),Operations1867727782879297102107112117124129134139144149154159529722273237424752[[#This Row],[Unit]]="Per unit/space/household",(_xlfn.IFS(Operations1867727782879297102107112117124129134139144149154159529722273237424752[[#This Row],[Frequency]]="Per Year",Operations1867727782879297102107112117124129134139144149154159529722273237424752[[#This Row],[Cost]]/12,Operations1867727782879297102107112117124129134139144149154159529722273237424752[[#This Row],[Frequency]]="Per month",Operations1867727782879297102107112117124129134139144149154159529722273237424752[[#This Row],[Cost]],Operations1867727782879297102107112117124129134139144149154159529722273237424752[[#This Row],[Frequency]]="Per day",Operations1867727782879297102107112117124129134139144149154159529722273237424752[[#This Row],[Cost]]*30,Operations1867727782879297102107112117124129134139144149154159529722273237424752[[#This Row],[Frequency]]="One-time",Operations1867727782879297102107112117124129134139144149154159529722273237424752[[#This Row],[Cost]]/SUM($C$18,$C$19))))</f>
        <v>#N/A</v>
      </c>
      <c r="H48" s="46" t="e">
        <f>Operations1867727782879297102107112117124129134139144149154159529722273237424752[[#This Row],[Monthly Cost Per Unit]]*12</f>
        <v>#N/A</v>
      </c>
    </row>
    <row r="49" spans="1:9" x14ac:dyDescent="0.25">
      <c r="A49" s="75"/>
      <c r="B49" s="76"/>
      <c r="C49" s="77"/>
      <c r="D49" s="78"/>
      <c r="E49" s="79"/>
      <c r="F49" s="79"/>
      <c r="G49" s="53" t="e" cm="1">
        <f t="array" ref="G49">_xlfn.IFS(Operations1867727782879297102107112117124129134139144149154159529722273237424752[[#This Row],[Unit]]="Program-wide",((_xlfn.IFS(Operations1867727782879297102107112117124129134139144149154159529722273237424752[[#This Row],[Frequency]]="Per Year",Operations1867727782879297102107112117124129134139144149154159529722273237424752[[#This Row],[Cost]]/12,Operations1867727782879297102107112117124129134139144149154159529722273237424752[[#This Row],[Frequency]]="Per month",Operations1867727782879297102107112117124129134139144149154159529722273237424752[[#This Row],[Cost]],Operations1867727782879297102107112117124129134139144149154159529722273237424752[[#This Row],[Frequency]]="Per day",Operations1867727782879297102107112117124129134139144149154159529722273237424752[[#This Row],[Cost]]*30,Operations1867727782879297102107112117124129134139144149154159529722273237424752[[#This Row],[Frequency]]="One-time",Operations1867727782879297102107112117124129134139144149154159529722273237424752[[#This Row],[Cost]]/SUM($C$18,$C$19)))/$C$17),Operations1867727782879297102107112117124129134139144149154159529722273237424752[[#This Row],[Unit]]="Per unit/space/household",(_xlfn.IFS(Operations1867727782879297102107112117124129134139144149154159529722273237424752[[#This Row],[Frequency]]="Per Year",Operations1867727782879297102107112117124129134139144149154159529722273237424752[[#This Row],[Cost]]/12,Operations1867727782879297102107112117124129134139144149154159529722273237424752[[#This Row],[Frequency]]="Per month",Operations1867727782879297102107112117124129134139144149154159529722273237424752[[#This Row],[Cost]],Operations1867727782879297102107112117124129134139144149154159529722273237424752[[#This Row],[Frequency]]="Per day",Operations1867727782879297102107112117124129134139144149154159529722273237424752[[#This Row],[Cost]]*30,Operations1867727782879297102107112117124129134139144149154159529722273237424752[[#This Row],[Frequency]]="One-time",Operations1867727782879297102107112117124129134139144149154159529722273237424752[[#This Row],[Cost]]/SUM($C$18,$C$19))))</f>
        <v>#N/A</v>
      </c>
      <c r="H49" s="46" t="e">
        <f>Operations1867727782879297102107112117124129134139144149154159529722273237424752[[#This Row],[Monthly Cost Per Unit]]*12</f>
        <v>#N/A</v>
      </c>
    </row>
    <row r="50" spans="1:9" x14ac:dyDescent="0.25">
      <c r="A50" s="75"/>
      <c r="B50" s="76"/>
      <c r="C50" s="77"/>
      <c r="D50" s="78"/>
      <c r="E50" s="79"/>
      <c r="F50" s="79"/>
      <c r="G50" s="53" t="e" cm="1">
        <f t="array" ref="G50">_xlfn.IFS(Operations1867727782879297102107112117124129134139144149154159529722273237424752[[#This Row],[Unit]]="Program-wide",((_xlfn.IFS(Operations1867727782879297102107112117124129134139144149154159529722273237424752[[#This Row],[Frequency]]="Per Year",Operations1867727782879297102107112117124129134139144149154159529722273237424752[[#This Row],[Cost]]/12,Operations1867727782879297102107112117124129134139144149154159529722273237424752[[#This Row],[Frequency]]="Per month",Operations1867727782879297102107112117124129134139144149154159529722273237424752[[#This Row],[Cost]],Operations1867727782879297102107112117124129134139144149154159529722273237424752[[#This Row],[Frequency]]="Per day",Operations1867727782879297102107112117124129134139144149154159529722273237424752[[#This Row],[Cost]]*30,Operations1867727782879297102107112117124129134139144149154159529722273237424752[[#This Row],[Frequency]]="One-time",Operations1867727782879297102107112117124129134139144149154159529722273237424752[[#This Row],[Cost]]/SUM($C$18,$C$19)))/$C$17),Operations1867727782879297102107112117124129134139144149154159529722273237424752[[#This Row],[Unit]]="Per unit/space/household",(_xlfn.IFS(Operations1867727782879297102107112117124129134139144149154159529722273237424752[[#This Row],[Frequency]]="Per Year",Operations1867727782879297102107112117124129134139144149154159529722273237424752[[#This Row],[Cost]]/12,Operations1867727782879297102107112117124129134139144149154159529722273237424752[[#This Row],[Frequency]]="Per month",Operations1867727782879297102107112117124129134139144149154159529722273237424752[[#This Row],[Cost]],Operations1867727782879297102107112117124129134139144149154159529722273237424752[[#This Row],[Frequency]]="Per day",Operations1867727782879297102107112117124129134139144149154159529722273237424752[[#This Row],[Cost]]*30,Operations1867727782879297102107112117124129134139144149154159529722273237424752[[#This Row],[Frequency]]="One-time",Operations1867727782879297102107112117124129134139144149154159529722273237424752[[#This Row],[Cost]]/SUM($C$18,$C$19))))</f>
        <v>#N/A</v>
      </c>
      <c r="H50" s="46" t="e">
        <f>Operations1867727782879297102107112117124129134139144149154159529722273237424752[[#This Row],[Monthly Cost Per Unit]]*12</f>
        <v>#N/A</v>
      </c>
    </row>
    <row r="51" spans="1:9" x14ac:dyDescent="0.25">
      <c r="A51" s="75"/>
      <c r="B51" s="76"/>
      <c r="C51" s="77"/>
      <c r="D51" s="78"/>
      <c r="E51" s="79"/>
      <c r="F51" s="79"/>
      <c r="G51" s="53" t="e" cm="1">
        <f t="array" ref="G51">_xlfn.IFS(Operations1867727782879297102107112117124129134139144149154159529722273237424752[[#This Row],[Unit]]="Program-wide",((_xlfn.IFS(Operations1867727782879297102107112117124129134139144149154159529722273237424752[[#This Row],[Frequency]]="Per Year",Operations1867727782879297102107112117124129134139144149154159529722273237424752[[#This Row],[Cost]]/12,Operations1867727782879297102107112117124129134139144149154159529722273237424752[[#This Row],[Frequency]]="Per month",Operations1867727782879297102107112117124129134139144149154159529722273237424752[[#This Row],[Cost]],Operations1867727782879297102107112117124129134139144149154159529722273237424752[[#This Row],[Frequency]]="Per day",Operations1867727782879297102107112117124129134139144149154159529722273237424752[[#This Row],[Cost]]*30,Operations1867727782879297102107112117124129134139144149154159529722273237424752[[#This Row],[Frequency]]="One-time",Operations1867727782879297102107112117124129134139144149154159529722273237424752[[#This Row],[Cost]]/SUM($C$18,$C$19)))/$C$17),Operations1867727782879297102107112117124129134139144149154159529722273237424752[[#This Row],[Unit]]="Per unit/space/household",(_xlfn.IFS(Operations1867727782879297102107112117124129134139144149154159529722273237424752[[#This Row],[Frequency]]="Per Year",Operations1867727782879297102107112117124129134139144149154159529722273237424752[[#This Row],[Cost]]/12,Operations1867727782879297102107112117124129134139144149154159529722273237424752[[#This Row],[Frequency]]="Per month",Operations1867727782879297102107112117124129134139144149154159529722273237424752[[#This Row],[Cost]],Operations1867727782879297102107112117124129134139144149154159529722273237424752[[#This Row],[Frequency]]="Per day",Operations1867727782879297102107112117124129134139144149154159529722273237424752[[#This Row],[Cost]]*30,Operations1867727782879297102107112117124129134139144149154159529722273237424752[[#This Row],[Frequency]]="One-time",Operations1867727782879297102107112117124129134139144149154159529722273237424752[[#This Row],[Cost]]/SUM($C$18,$C$19))))</f>
        <v>#N/A</v>
      </c>
      <c r="H51" s="46" t="e">
        <f>Operations1867727782879297102107112117124129134139144149154159529722273237424752[[#This Row],[Monthly Cost Per Unit]]*12</f>
        <v>#N/A</v>
      </c>
    </row>
    <row r="52" spans="1:9" x14ac:dyDescent="0.25">
      <c r="A52" s="75"/>
      <c r="B52" s="76"/>
      <c r="C52" s="77"/>
      <c r="D52" s="78"/>
      <c r="E52" s="79"/>
      <c r="F52" s="79"/>
      <c r="G52" s="55" t="e" cm="1">
        <f t="array" ref="G52">_xlfn.IFS(Operations1867727782879297102107112117124129134139144149154159529722273237424752[[#This Row],[Unit]]="Program-wide",((_xlfn.IFS(Operations1867727782879297102107112117124129134139144149154159529722273237424752[[#This Row],[Frequency]]="Per Year",Operations1867727782879297102107112117124129134139144149154159529722273237424752[[#This Row],[Cost]]/12,Operations1867727782879297102107112117124129134139144149154159529722273237424752[[#This Row],[Frequency]]="Per month",Operations1867727782879297102107112117124129134139144149154159529722273237424752[[#This Row],[Cost]],Operations1867727782879297102107112117124129134139144149154159529722273237424752[[#This Row],[Frequency]]="Per day",Operations1867727782879297102107112117124129134139144149154159529722273237424752[[#This Row],[Cost]]*30,Operations1867727782879297102107112117124129134139144149154159529722273237424752[[#This Row],[Frequency]]="One-time",Operations1867727782879297102107112117124129134139144149154159529722273237424752[[#This Row],[Cost]]/SUM($C$18,$C$19)))/$C$17),Operations1867727782879297102107112117124129134139144149154159529722273237424752[[#This Row],[Unit]]="Per unit/space/household",(_xlfn.IFS(Operations1867727782879297102107112117124129134139144149154159529722273237424752[[#This Row],[Frequency]]="Per Year",Operations1867727782879297102107112117124129134139144149154159529722273237424752[[#This Row],[Cost]]/12,Operations1867727782879297102107112117124129134139144149154159529722273237424752[[#This Row],[Frequency]]="Per month",Operations1867727782879297102107112117124129134139144149154159529722273237424752[[#This Row],[Cost]],Operations1867727782879297102107112117124129134139144149154159529722273237424752[[#This Row],[Frequency]]="Per day",Operations1867727782879297102107112117124129134139144149154159529722273237424752[[#This Row],[Cost]]*30,Operations1867727782879297102107112117124129134139144149154159529722273237424752[[#This Row],[Frequency]]="One-time",Operations1867727782879297102107112117124129134139144149154159529722273237424752[[#This Row],[Cost]]/SUM($C$18,$C$19))))</f>
        <v>#N/A</v>
      </c>
      <c r="H52" s="46" t="e">
        <f>Operations1867727782879297102107112117124129134139144149154159529722273237424752[[#This Row],[Monthly Cost Per Unit]]*12</f>
        <v>#N/A</v>
      </c>
    </row>
    <row r="53" spans="1:9" x14ac:dyDescent="0.25">
      <c r="A53" s="107" t="s">
        <v>20</v>
      </c>
      <c r="B53" s="107"/>
      <c r="C53" s="108" t="s">
        <v>68</v>
      </c>
      <c r="D53" s="109"/>
      <c r="E53" s="108"/>
      <c r="F53" s="108"/>
      <c r="G53" s="118"/>
      <c r="H53" s="111">
        <f>(SUMIF(Operations1867727782879297102107112117124129134139144149154159529722273237424752[Duration],"While homeless only",Operations1867727782879297102107112117124129134139144149154159529722273237424752[Monthly Cost Per Unit]))*12</f>
        <v>0</v>
      </c>
    </row>
    <row r="54" spans="1:9" x14ac:dyDescent="0.25">
      <c r="A54" s="112"/>
      <c r="B54" s="112"/>
      <c r="C54" s="108" t="s">
        <v>63</v>
      </c>
      <c r="D54" s="109"/>
      <c r="E54" s="108"/>
      <c r="F54" s="108"/>
      <c r="G54" s="111"/>
      <c r="H54" s="111">
        <f>(SUMIF(Operations1867727782879297102107112117124129134139144149154159529722273237424752[Duration],"While housed only",Operations1867727782879297102107112117124129134139144149154159529722273237424752[Monthly Cost Per Unit]))*12</f>
        <v>0</v>
      </c>
    </row>
    <row r="55" spans="1:9" x14ac:dyDescent="0.25">
      <c r="A55" s="112"/>
      <c r="B55" s="112"/>
      <c r="C55" s="108" t="s">
        <v>58</v>
      </c>
      <c r="D55" s="109"/>
      <c r="E55" s="108"/>
      <c r="F55" s="108"/>
      <c r="G55" s="111"/>
      <c r="H55" s="111">
        <f>(SUMIF(Operations1867727782879297102107112117124129134139144149154159529722273237424752[Duration],"Homeless &amp; housed",Operations1867727782879297102107112117124129134139144149154159529722273237424752[Monthly Cost Per Unit]))*12</f>
        <v>0</v>
      </c>
    </row>
    <row r="56" spans="1:9" ht="15.75" thickBot="1" x14ac:dyDescent="0.3">
      <c r="A56" s="113"/>
      <c r="B56" s="113"/>
      <c r="C56" s="114" t="s">
        <v>207</v>
      </c>
      <c r="D56" s="115"/>
      <c r="E56" s="114"/>
      <c r="F56" s="114"/>
      <c r="G56" s="117"/>
      <c r="H56" s="117">
        <f>(SUMIF(Operations1867727782879297102107112117124129134139144149154159529722273237424752[Duration],"N/A",Operations1867727782879297102107112117124129134139144149154159529722273237424752[Monthly Cost Per Unit]))*12</f>
        <v>0</v>
      </c>
    </row>
    <row r="57" spans="1:9" ht="16.5" thickTop="1" thickBot="1" x14ac:dyDescent="0.3">
      <c r="A57" s="113"/>
      <c r="B57" s="113"/>
      <c r="C57" s="114" t="s">
        <v>42</v>
      </c>
      <c r="D57" s="115"/>
      <c r="E57" s="114"/>
      <c r="F57" s="114"/>
      <c r="G57" s="117"/>
      <c r="H57" s="117">
        <f>SUM(H53:H56)</f>
        <v>0</v>
      </c>
    </row>
    <row r="58" spans="1:9" ht="15.75" thickTop="1" x14ac:dyDescent="0.25">
      <c r="A58" s="134"/>
      <c r="B58" s="134"/>
      <c r="C58" s="135"/>
      <c r="D58" s="136"/>
      <c r="E58" s="137"/>
      <c r="F58" s="137"/>
      <c r="G58" s="138"/>
    </row>
    <row r="59" spans="1:9" x14ac:dyDescent="0.25">
      <c r="A59" s="274" t="s">
        <v>69</v>
      </c>
      <c r="B59" s="274"/>
      <c r="C59" s="274"/>
      <c r="D59" s="274"/>
      <c r="E59" s="274"/>
      <c r="F59" s="274"/>
      <c r="G59" s="274"/>
      <c r="H59" s="274"/>
      <c r="I59" s="129"/>
    </row>
    <row r="60" spans="1:9" ht="27.95" customHeight="1" outlineLevel="1" x14ac:dyDescent="0.25">
      <c r="A60" s="281" t="s">
        <v>108</v>
      </c>
      <c r="B60" s="281"/>
      <c r="C60" s="281"/>
      <c r="D60" s="281"/>
      <c r="E60" s="281"/>
      <c r="F60" s="281"/>
      <c r="G60" s="281"/>
      <c r="H60" s="281"/>
      <c r="I60" s="129"/>
    </row>
    <row r="61" spans="1:9" ht="18" customHeight="1" outlineLevel="1" x14ac:dyDescent="0.25">
      <c r="A61" s="279" t="s">
        <v>70</v>
      </c>
      <c r="B61" s="279"/>
      <c r="C61" s="279"/>
      <c r="D61" s="279"/>
      <c r="E61" s="279"/>
      <c r="F61" s="279"/>
      <c r="G61" s="92"/>
      <c r="H61" s="10"/>
      <c r="I61" s="129"/>
    </row>
    <row r="62" spans="1:9" ht="45" customHeight="1" outlineLevel="1" x14ac:dyDescent="0.25">
      <c r="A62" s="278" t="s">
        <v>118</v>
      </c>
      <c r="B62" s="278"/>
      <c r="C62" s="278"/>
      <c r="D62" s="278"/>
      <c r="E62" s="278"/>
      <c r="F62" s="278"/>
      <c r="G62" s="92"/>
      <c r="H62" s="10"/>
      <c r="I62" s="129"/>
    </row>
    <row r="63" spans="1:9" ht="60.75" thickBot="1" x14ac:dyDescent="0.3">
      <c r="A63" s="128"/>
      <c r="B63" t="s">
        <v>71</v>
      </c>
      <c r="C63" s="11" t="s">
        <v>72</v>
      </c>
      <c r="D63" s="11" t="s">
        <v>73</v>
      </c>
      <c r="E63" s="11" t="s">
        <v>74</v>
      </c>
      <c r="F63" s="31" t="s">
        <v>75</v>
      </c>
      <c r="G63" s="10"/>
    </row>
    <row r="64" spans="1:9" ht="16.5" thickTop="1" thickBot="1" x14ac:dyDescent="0.3">
      <c r="A64" s="139" t="s">
        <v>76</v>
      </c>
      <c r="B64" s="90">
        <v>0</v>
      </c>
      <c r="C64" s="91">
        <v>0</v>
      </c>
      <c r="D64" s="91">
        <v>0</v>
      </c>
      <c r="E64" s="91">
        <v>0</v>
      </c>
      <c r="F64" s="140">
        <f>SUM(D64:E64)</f>
        <v>0</v>
      </c>
      <c r="G64" s="10"/>
    </row>
    <row r="65" spans="1:9" s="3" customFormat="1" ht="16.5" thickTop="1" thickBot="1" x14ac:dyDescent="0.3">
      <c r="A65" s="139" t="s">
        <v>77</v>
      </c>
      <c r="B65" s="90">
        <v>0</v>
      </c>
      <c r="C65" s="91">
        <v>0</v>
      </c>
      <c r="D65" s="91">
        <v>0</v>
      </c>
      <c r="E65" s="91">
        <v>0</v>
      </c>
      <c r="F65" s="140">
        <f t="shared" ref="F65:F71" si="0">SUM(D65:E65)</f>
        <v>0</v>
      </c>
      <c r="G65" s="10"/>
    </row>
    <row r="66" spans="1:9" ht="16.5" thickTop="1" thickBot="1" x14ac:dyDescent="0.3">
      <c r="A66" s="139" t="s">
        <v>78</v>
      </c>
      <c r="B66" s="90">
        <v>0</v>
      </c>
      <c r="C66" s="91">
        <v>0</v>
      </c>
      <c r="D66" s="91">
        <v>0</v>
      </c>
      <c r="E66" s="91">
        <v>0</v>
      </c>
      <c r="F66" s="140">
        <f t="shared" si="0"/>
        <v>0</v>
      </c>
      <c r="G66" s="10"/>
    </row>
    <row r="67" spans="1:9" ht="16.5" thickTop="1" thickBot="1" x14ac:dyDescent="0.3">
      <c r="A67" s="139" t="s">
        <v>79</v>
      </c>
      <c r="B67" s="90">
        <v>0</v>
      </c>
      <c r="C67" s="91">
        <v>0</v>
      </c>
      <c r="D67" s="91">
        <v>0</v>
      </c>
      <c r="E67" s="91">
        <v>0</v>
      </c>
      <c r="F67" s="140">
        <f t="shared" si="0"/>
        <v>0</v>
      </c>
      <c r="G67" s="10"/>
    </row>
    <row r="68" spans="1:9" ht="16.5" thickTop="1" thickBot="1" x14ac:dyDescent="0.3">
      <c r="A68" s="139" t="s">
        <v>80</v>
      </c>
      <c r="B68" s="90">
        <v>0</v>
      </c>
      <c r="C68" s="91">
        <v>0</v>
      </c>
      <c r="D68" s="91">
        <v>0</v>
      </c>
      <c r="E68" s="91">
        <v>0</v>
      </c>
      <c r="F68" s="140">
        <f t="shared" si="0"/>
        <v>0</v>
      </c>
      <c r="G68" s="10"/>
    </row>
    <row r="69" spans="1:9" ht="16.5" thickTop="1" thickBot="1" x14ac:dyDescent="0.3">
      <c r="A69" s="139" t="s">
        <v>81</v>
      </c>
      <c r="B69" s="90">
        <v>0</v>
      </c>
      <c r="C69" s="91">
        <v>0</v>
      </c>
      <c r="D69" s="91">
        <v>0</v>
      </c>
      <c r="E69" s="91">
        <v>0</v>
      </c>
      <c r="F69" s="140">
        <f t="shared" si="0"/>
        <v>0</v>
      </c>
      <c r="G69" s="10"/>
    </row>
    <row r="70" spans="1:9" ht="16.5" thickTop="1" thickBot="1" x14ac:dyDescent="0.3">
      <c r="A70" s="139" t="s">
        <v>82</v>
      </c>
      <c r="B70" s="90">
        <v>0</v>
      </c>
      <c r="C70" s="91">
        <v>0</v>
      </c>
      <c r="D70" s="91">
        <v>0</v>
      </c>
      <c r="E70" s="91">
        <v>0</v>
      </c>
      <c r="F70" s="140">
        <f t="shared" si="0"/>
        <v>0</v>
      </c>
      <c r="G70" s="10"/>
    </row>
    <row r="71" spans="1:9" ht="16.5" thickTop="1" thickBot="1" x14ac:dyDescent="0.3">
      <c r="A71" s="139" t="s">
        <v>83</v>
      </c>
      <c r="B71" s="90">
        <v>0</v>
      </c>
      <c r="C71" s="91">
        <v>0</v>
      </c>
      <c r="D71" s="91">
        <v>0</v>
      </c>
      <c r="E71" s="91">
        <v>0</v>
      </c>
      <c r="F71" s="140">
        <f t="shared" si="0"/>
        <v>0</v>
      </c>
      <c r="G71" s="10"/>
    </row>
    <row r="72" spans="1:9" ht="15.75" thickTop="1" x14ac:dyDescent="0.25">
      <c r="A72" s="141" t="s">
        <v>21</v>
      </c>
      <c r="C72" s="142" t="e">
        <f>SUM((C64*B64),(C65*B65),(C66*B66),(C67*B67),(C68*B68),(C69*B69),(C70*B70),(C71*B71))/(SUM(B64:B71))</f>
        <v>#DIV/0!</v>
      </c>
      <c r="D72" s="142" t="e">
        <f>SUM((D64*B64),(D65*B65),(D66*B66),(D67*B67),(D68*B68),(D69*B69),(D70*B70),(D71*B71))/(SUM(B64:B71))</f>
        <v>#DIV/0!</v>
      </c>
      <c r="E72" s="142" t="e">
        <f>SUM((E64*B64),(E65*B65),(E66*B66),(E67*B67),(E68*B68),(E69*B69),(E70*B70),(E71*B71))/(SUM(B64:B71))</f>
        <v>#DIV/0!</v>
      </c>
      <c r="F72" s="143" t="e">
        <f>SUM((F64*B64),(F65*B65),(F66*B66),(F67*B67),(F68*B68),(F69*B69),(F70*B70),(F71*B71))/(SUM(B64:B71))</f>
        <v>#DIV/0!</v>
      </c>
      <c r="G72" s="10"/>
    </row>
    <row r="73" spans="1:9" x14ac:dyDescent="0.25">
      <c r="A73" s="144"/>
      <c r="B73" s="145"/>
      <c r="C73" s="145"/>
      <c r="E73" s="10"/>
      <c r="F73" s="10"/>
      <c r="G73" s="129"/>
    </row>
    <row r="74" spans="1:9" x14ac:dyDescent="0.25">
      <c r="A74" s="279" t="s">
        <v>84</v>
      </c>
      <c r="B74" s="279"/>
      <c r="C74" s="279"/>
      <c r="D74" s="279"/>
      <c r="E74" s="279"/>
      <c r="F74" s="279"/>
      <c r="G74" s="279"/>
      <c r="H74" s="279"/>
    </row>
    <row r="75" spans="1:9" s="1" customFormat="1" ht="50.25" customHeight="1" outlineLevel="1" x14ac:dyDescent="0.25">
      <c r="A75" s="278" t="s">
        <v>119</v>
      </c>
      <c r="B75" s="278"/>
      <c r="C75" s="278"/>
      <c r="D75" s="278"/>
      <c r="E75" s="278"/>
      <c r="F75" s="278"/>
      <c r="G75" s="278"/>
      <c r="H75" s="278"/>
      <c r="I75"/>
    </row>
    <row r="76" spans="1:9" s="3" customFormat="1" ht="28.35" customHeight="1" x14ac:dyDescent="0.25">
      <c r="A76" s="131" t="s">
        <v>51</v>
      </c>
      <c r="B76" s="131" t="s">
        <v>52</v>
      </c>
      <c r="C76" s="131" t="s">
        <v>53</v>
      </c>
      <c r="D76" s="131" t="s">
        <v>54</v>
      </c>
      <c r="E76" s="131" t="s">
        <v>55</v>
      </c>
      <c r="F76" s="131" t="s">
        <v>56</v>
      </c>
      <c r="G76" s="131" t="s">
        <v>57</v>
      </c>
      <c r="H76" s="132" t="s">
        <v>20</v>
      </c>
    </row>
    <row r="77" spans="1:9" x14ac:dyDescent="0.25">
      <c r="A77" s="75"/>
      <c r="B77" s="75"/>
      <c r="C77" s="77"/>
      <c r="D77" s="78"/>
      <c r="E77" s="79"/>
      <c r="F77" s="79"/>
      <c r="G77" s="53" t="e" cm="1">
        <f t="array" ref="G77">_xlfn.IFS(RentalAssistance1968737883889398103108113118125130135140145150155160539823283338434853[[#This Row],[Unit]]="Program-wide",((_xlfn.IFS(RentalAssistance1968737883889398103108113118125130135140145150155160539823283338434853[[#This Row],[Frequency]]="Per Year",RentalAssistance1968737883889398103108113118125130135140145150155160539823283338434853[[#This Row],[Cost]]/12,RentalAssistance1968737883889398103108113118125130135140145150155160539823283338434853[[#This Row],[Frequency]]="Per month",RentalAssistance1968737883889398103108113118125130135140145150155160539823283338434853[[#This Row],[Cost]],RentalAssistance1968737883889398103108113118125130135140145150155160539823283338434853[[#This Row],[Frequency]]="Per day",RentalAssistance1968737883889398103108113118125130135140145150155160539823283338434853[[#This Row],[Cost]]*30,RentalAssistance1968737883889398103108113118125130135140145150155160539823283338434853[[#This Row],[Frequency]]="One-time",RentalAssistance1968737883889398103108113118125130135140145150155160539823283338434853[[#This Row],[Cost]]/SUM($C$18,$C$19)))/$C$17),RentalAssistance1968737883889398103108113118125130135140145150155160539823283338434853[[#This Row],[Unit]]="Per unit/space/household",(_xlfn.IFS(RentalAssistance1968737883889398103108113118125130135140145150155160539823283338434853[[#This Row],[Frequency]]="Per Year",RentalAssistance1968737883889398103108113118125130135140145150155160539823283338434853[[#This Row],[Cost]]/12,RentalAssistance1968737883889398103108113118125130135140145150155160539823283338434853[[#This Row],[Frequency]]="Per month",RentalAssistance1968737883889398103108113118125130135140145150155160539823283338434853[[#This Row],[Cost]],RentalAssistance1968737883889398103108113118125130135140145150155160539823283338434853[[#This Row],[Frequency]]="Per day",RentalAssistance1968737883889398103108113118125130135140145150155160539823283338434853[[#This Row],[Cost]]*30,RentalAssistance1968737883889398103108113118125130135140145150155160539823283338434853[[#This Row],[Frequency]]="One-time",RentalAssistance1968737883889398103108113118125130135140145150155160539823283338434853[[#This Row],[Cost]]/SUM($C$18,$C$19))))</f>
        <v>#N/A</v>
      </c>
      <c r="H77" s="46" t="e">
        <f>RentalAssistance1968737883889398103108113118125130135140145150155160539823283338434853[[#This Row],[Monthly Cost Per Unit]]*12</f>
        <v>#N/A</v>
      </c>
    </row>
    <row r="78" spans="1:9" x14ac:dyDescent="0.25">
      <c r="A78" s="75"/>
      <c r="B78" s="75"/>
      <c r="C78" s="77"/>
      <c r="D78" s="78"/>
      <c r="E78" s="79"/>
      <c r="F78" s="79"/>
      <c r="G78" s="53" t="e" cm="1">
        <f t="array" ref="G78">_xlfn.IFS(RentalAssistance1968737883889398103108113118125130135140145150155160539823283338434853[[#This Row],[Unit]]="Program-wide",((_xlfn.IFS(RentalAssistance1968737883889398103108113118125130135140145150155160539823283338434853[[#This Row],[Frequency]]="Per Year",RentalAssistance1968737883889398103108113118125130135140145150155160539823283338434853[[#This Row],[Cost]]/12,RentalAssistance1968737883889398103108113118125130135140145150155160539823283338434853[[#This Row],[Frequency]]="Per month",RentalAssistance1968737883889398103108113118125130135140145150155160539823283338434853[[#This Row],[Cost]],RentalAssistance1968737883889398103108113118125130135140145150155160539823283338434853[[#This Row],[Frequency]]="Per day",RentalAssistance1968737883889398103108113118125130135140145150155160539823283338434853[[#This Row],[Cost]]*30,RentalAssistance1968737883889398103108113118125130135140145150155160539823283338434853[[#This Row],[Frequency]]="One-time",RentalAssistance1968737883889398103108113118125130135140145150155160539823283338434853[[#This Row],[Cost]]/SUM($C$18,$C$19)))/$C$17),RentalAssistance1968737883889398103108113118125130135140145150155160539823283338434853[[#This Row],[Unit]]="Per unit/space/household",(_xlfn.IFS(RentalAssistance1968737883889398103108113118125130135140145150155160539823283338434853[[#This Row],[Frequency]]="Per Year",RentalAssistance1968737883889398103108113118125130135140145150155160539823283338434853[[#This Row],[Cost]]/12,RentalAssistance1968737883889398103108113118125130135140145150155160539823283338434853[[#This Row],[Frequency]]="Per month",RentalAssistance1968737883889398103108113118125130135140145150155160539823283338434853[[#This Row],[Cost]],RentalAssistance1968737883889398103108113118125130135140145150155160539823283338434853[[#This Row],[Frequency]]="Per day",RentalAssistance1968737883889398103108113118125130135140145150155160539823283338434853[[#This Row],[Cost]]*30,RentalAssistance1968737883889398103108113118125130135140145150155160539823283338434853[[#This Row],[Frequency]]="One-time",RentalAssistance1968737883889398103108113118125130135140145150155160539823283338434853[[#This Row],[Cost]]/SUM($C$18,$C$19))))</f>
        <v>#N/A</v>
      </c>
      <c r="H78" s="46" t="e">
        <f>RentalAssistance1968737883889398103108113118125130135140145150155160539823283338434853[[#This Row],[Monthly Cost Per Unit]]*12</f>
        <v>#N/A</v>
      </c>
    </row>
    <row r="79" spans="1:9" x14ac:dyDescent="0.25">
      <c r="A79" s="75"/>
      <c r="B79" s="75"/>
      <c r="C79" s="77"/>
      <c r="D79" s="78"/>
      <c r="E79" s="79"/>
      <c r="F79" s="79"/>
      <c r="G79" s="53" t="e" cm="1">
        <f t="array" ref="G79">_xlfn.IFS(RentalAssistance1968737883889398103108113118125130135140145150155160539823283338434853[[#This Row],[Unit]]="Program-wide",((_xlfn.IFS(RentalAssistance1968737883889398103108113118125130135140145150155160539823283338434853[[#This Row],[Frequency]]="Per Year",RentalAssistance1968737883889398103108113118125130135140145150155160539823283338434853[[#This Row],[Cost]]/12,RentalAssistance1968737883889398103108113118125130135140145150155160539823283338434853[[#This Row],[Frequency]]="Per month",RentalAssistance1968737883889398103108113118125130135140145150155160539823283338434853[[#This Row],[Cost]],RentalAssistance1968737883889398103108113118125130135140145150155160539823283338434853[[#This Row],[Frequency]]="Per day",RentalAssistance1968737883889398103108113118125130135140145150155160539823283338434853[[#This Row],[Cost]]*30,RentalAssistance1968737883889398103108113118125130135140145150155160539823283338434853[[#This Row],[Frequency]]="One-time",RentalAssistance1968737883889398103108113118125130135140145150155160539823283338434853[[#This Row],[Cost]]/SUM($C$18,$C$19)))/$C$17),RentalAssistance1968737883889398103108113118125130135140145150155160539823283338434853[[#This Row],[Unit]]="Per unit/space/household",(_xlfn.IFS(RentalAssistance1968737883889398103108113118125130135140145150155160539823283338434853[[#This Row],[Frequency]]="Per Year",RentalAssistance1968737883889398103108113118125130135140145150155160539823283338434853[[#This Row],[Cost]]/12,RentalAssistance1968737883889398103108113118125130135140145150155160539823283338434853[[#This Row],[Frequency]]="Per month",RentalAssistance1968737883889398103108113118125130135140145150155160539823283338434853[[#This Row],[Cost]],RentalAssistance1968737883889398103108113118125130135140145150155160539823283338434853[[#This Row],[Frequency]]="Per day",RentalAssistance1968737883889398103108113118125130135140145150155160539823283338434853[[#This Row],[Cost]]*30,RentalAssistance1968737883889398103108113118125130135140145150155160539823283338434853[[#This Row],[Frequency]]="One-time",RentalAssistance1968737883889398103108113118125130135140145150155160539823283338434853[[#This Row],[Cost]]/SUM($C$18,$C$19))))</f>
        <v>#N/A</v>
      </c>
      <c r="H79" s="46" t="e">
        <f>RentalAssistance1968737883889398103108113118125130135140145150155160539823283338434853[[#This Row],[Monthly Cost Per Unit]]*12</f>
        <v>#N/A</v>
      </c>
    </row>
    <row r="80" spans="1:9" x14ac:dyDescent="0.25">
      <c r="A80" s="75"/>
      <c r="B80" s="75"/>
      <c r="C80" s="77"/>
      <c r="D80" s="78"/>
      <c r="E80" s="79"/>
      <c r="F80" s="79"/>
      <c r="G80" s="53" t="e" cm="1">
        <f t="array" ref="G80">_xlfn.IFS(RentalAssistance1968737883889398103108113118125130135140145150155160539823283338434853[[#This Row],[Unit]]="Program-wide",((_xlfn.IFS(RentalAssistance1968737883889398103108113118125130135140145150155160539823283338434853[[#This Row],[Frequency]]="Per Year",RentalAssistance1968737883889398103108113118125130135140145150155160539823283338434853[[#This Row],[Cost]]/12,RentalAssistance1968737883889398103108113118125130135140145150155160539823283338434853[[#This Row],[Frequency]]="Per month",RentalAssistance1968737883889398103108113118125130135140145150155160539823283338434853[[#This Row],[Cost]],RentalAssistance1968737883889398103108113118125130135140145150155160539823283338434853[[#This Row],[Frequency]]="Per day",RentalAssistance1968737883889398103108113118125130135140145150155160539823283338434853[[#This Row],[Cost]]*30,RentalAssistance1968737883889398103108113118125130135140145150155160539823283338434853[[#This Row],[Frequency]]="One-time",RentalAssistance1968737883889398103108113118125130135140145150155160539823283338434853[[#This Row],[Cost]]/SUM($C$18,$C$19)))/$C$17),RentalAssistance1968737883889398103108113118125130135140145150155160539823283338434853[[#This Row],[Unit]]="Per unit/space/household",(_xlfn.IFS(RentalAssistance1968737883889398103108113118125130135140145150155160539823283338434853[[#This Row],[Frequency]]="Per Year",RentalAssistance1968737883889398103108113118125130135140145150155160539823283338434853[[#This Row],[Cost]]/12,RentalAssistance1968737883889398103108113118125130135140145150155160539823283338434853[[#This Row],[Frequency]]="Per month",RentalAssistance1968737883889398103108113118125130135140145150155160539823283338434853[[#This Row],[Cost]],RentalAssistance1968737883889398103108113118125130135140145150155160539823283338434853[[#This Row],[Frequency]]="Per day",RentalAssistance1968737883889398103108113118125130135140145150155160539823283338434853[[#This Row],[Cost]]*30,RentalAssistance1968737883889398103108113118125130135140145150155160539823283338434853[[#This Row],[Frequency]]="One-time",RentalAssistance1968737883889398103108113118125130135140145150155160539823283338434853[[#This Row],[Cost]]/SUM($C$18,$C$19))))</f>
        <v>#N/A</v>
      </c>
      <c r="H80" s="46" t="e">
        <f>RentalAssistance1968737883889398103108113118125130135140145150155160539823283338434853[[#This Row],[Monthly Cost Per Unit]]*12</f>
        <v>#N/A</v>
      </c>
    </row>
    <row r="81" spans="1:8" x14ac:dyDescent="0.25">
      <c r="A81" s="75"/>
      <c r="B81" s="75"/>
      <c r="C81" s="77"/>
      <c r="D81" s="78"/>
      <c r="E81" s="79"/>
      <c r="F81" s="79"/>
      <c r="G81" s="53" t="e" cm="1">
        <f t="array" ref="G81">_xlfn.IFS(RentalAssistance1968737883889398103108113118125130135140145150155160539823283338434853[[#This Row],[Unit]]="Program-wide",((_xlfn.IFS(RentalAssistance1968737883889398103108113118125130135140145150155160539823283338434853[[#This Row],[Frequency]]="Per Year",RentalAssistance1968737883889398103108113118125130135140145150155160539823283338434853[[#This Row],[Cost]]/12,RentalAssistance1968737883889398103108113118125130135140145150155160539823283338434853[[#This Row],[Frequency]]="Per month",RentalAssistance1968737883889398103108113118125130135140145150155160539823283338434853[[#This Row],[Cost]],RentalAssistance1968737883889398103108113118125130135140145150155160539823283338434853[[#This Row],[Frequency]]="Per day",RentalAssistance1968737883889398103108113118125130135140145150155160539823283338434853[[#This Row],[Cost]]*30,RentalAssistance1968737883889398103108113118125130135140145150155160539823283338434853[[#This Row],[Frequency]]="One-time",RentalAssistance1968737883889398103108113118125130135140145150155160539823283338434853[[#This Row],[Cost]]/SUM($C$18,$C$19)))/$C$17),RentalAssistance1968737883889398103108113118125130135140145150155160539823283338434853[[#This Row],[Unit]]="Per unit/space/household",(_xlfn.IFS(RentalAssistance1968737883889398103108113118125130135140145150155160539823283338434853[[#This Row],[Frequency]]="Per Year",RentalAssistance1968737883889398103108113118125130135140145150155160539823283338434853[[#This Row],[Cost]]/12,RentalAssistance1968737883889398103108113118125130135140145150155160539823283338434853[[#This Row],[Frequency]]="Per month",RentalAssistance1968737883889398103108113118125130135140145150155160539823283338434853[[#This Row],[Cost]],RentalAssistance1968737883889398103108113118125130135140145150155160539823283338434853[[#This Row],[Frequency]]="Per day",RentalAssistance1968737883889398103108113118125130135140145150155160539823283338434853[[#This Row],[Cost]]*30,RentalAssistance1968737883889398103108113118125130135140145150155160539823283338434853[[#This Row],[Frequency]]="One-time",RentalAssistance1968737883889398103108113118125130135140145150155160539823283338434853[[#This Row],[Cost]]/SUM($C$18,$C$19))))</f>
        <v>#N/A</v>
      </c>
      <c r="H81" s="46" t="e">
        <f>RentalAssistance1968737883889398103108113118125130135140145150155160539823283338434853[[#This Row],[Monthly Cost Per Unit]]*12</f>
        <v>#N/A</v>
      </c>
    </row>
    <row r="82" spans="1:8" x14ac:dyDescent="0.25">
      <c r="A82" s="75"/>
      <c r="B82" s="75"/>
      <c r="C82" s="77"/>
      <c r="D82" s="78"/>
      <c r="E82" s="79"/>
      <c r="F82" s="79"/>
      <c r="G82" s="53" t="e" cm="1">
        <f t="array" ref="G82">_xlfn.IFS(RentalAssistance1968737883889398103108113118125130135140145150155160539823283338434853[[#This Row],[Unit]]="Program-wide",((_xlfn.IFS(RentalAssistance1968737883889398103108113118125130135140145150155160539823283338434853[[#This Row],[Frequency]]="Per Year",RentalAssistance1968737883889398103108113118125130135140145150155160539823283338434853[[#This Row],[Cost]]/12,RentalAssistance1968737883889398103108113118125130135140145150155160539823283338434853[[#This Row],[Frequency]]="Per month",RentalAssistance1968737883889398103108113118125130135140145150155160539823283338434853[[#This Row],[Cost]],RentalAssistance1968737883889398103108113118125130135140145150155160539823283338434853[[#This Row],[Frequency]]="Per day",RentalAssistance1968737883889398103108113118125130135140145150155160539823283338434853[[#This Row],[Cost]]*30,RentalAssistance1968737883889398103108113118125130135140145150155160539823283338434853[[#This Row],[Frequency]]="One-time",RentalAssistance1968737883889398103108113118125130135140145150155160539823283338434853[[#This Row],[Cost]]/SUM($C$18,$C$19)))/$C$17),RentalAssistance1968737883889398103108113118125130135140145150155160539823283338434853[[#This Row],[Unit]]="Per unit/space/household",(_xlfn.IFS(RentalAssistance1968737883889398103108113118125130135140145150155160539823283338434853[[#This Row],[Frequency]]="Per Year",RentalAssistance1968737883889398103108113118125130135140145150155160539823283338434853[[#This Row],[Cost]]/12,RentalAssistance1968737883889398103108113118125130135140145150155160539823283338434853[[#This Row],[Frequency]]="Per month",RentalAssistance1968737883889398103108113118125130135140145150155160539823283338434853[[#This Row],[Cost]],RentalAssistance1968737883889398103108113118125130135140145150155160539823283338434853[[#This Row],[Frequency]]="Per day",RentalAssistance1968737883889398103108113118125130135140145150155160539823283338434853[[#This Row],[Cost]]*30,RentalAssistance1968737883889398103108113118125130135140145150155160539823283338434853[[#This Row],[Frequency]]="One-time",RentalAssistance1968737883889398103108113118125130135140145150155160539823283338434853[[#This Row],[Cost]]/SUM($C$18,$C$19))))</f>
        <v>#N/A</v>
      </c>
      <c r="H82" s="46" t="e">
        <f>RentalAssistance1968737883889398103108113118125130135140145150155160539823283338434853[[#This Row],[Monthly Cost Per Unit]]*12</f>
        <v>#N/A</v>
      </c>
    </row>
    <row r="83" spans="1:8" x14ac:dyDescent="0.25">
      <c r="A83" s="75"/>
      <c r="B83" s="75"/>
      <c r="C83" s="77"/>
      <c r="D83" s="78"/>
      <c r="E83" s="79"/>
      <c r="F83" s="79"/>
      <c r="G83" s="53" t="e" cm="1">
        <f t="array" ref="G83">_xlfn.IFS(RentalAssistance1968737883889398103108113118125130135140145150155160539823283338434853[[#This Row],[Unit]]="Program-wide",((_xlfn.IFS(RentalAssistance1968737883889398103108113118125130135140145150155160539823283338434853[[#This Row],[Frequency]]="Per Year",RentalAssistance1968737883889398103108113118125130135140145150155160539823283338434853[[#This Row],[Cost]]/12,RentalAssistance1968737883889398103108113118125130135140145150155160539823283338434853[[#This Row],[Frequency]]="Per month",RentalAssistance1968737883889398103108113118125130135140145150155160539823283338434853[[#This Row],[Cost]],RentalAssistance1968737883889398103108113118125130135140145150155160539823283338434853[[#This Row],[Frequency]]="Per day",RentalAssistance1968737883889398103108113118125130135140145150155160539823283338434853[[#This Row],[Cost]]*30,RentalAssistance1968737883889398103108113118125130135140145150155160539823283338434853[[#This Row],[Frequency]]="One-time",RentalAssistance1968737883889398103108113118125130135140145150155160539823283338434853[[#This Row],[Cost]]/SUM($C$18,$C$19)))/$C$17),RentalAssistance1968737883889398103108113118125130135140145150155160539823283338434853[[#This Row],[Unit]]="Per unit/space/household",(_xlfn.IFS(RentalAssistance1968737883889398103108113118125130135140145150155160539823283338434853[[#This Row],[Frequency]]="Per Year",RentalAssistance1968737883889398103108113118125130135140145150155160539823283338434853[[#This Row],[Cost]]/12,RentalAssistance1968737883889398103108113118125130135140145150155160539823283338434853[[#This Row],[Frequency]]="Per month",RentalAssistance1968737883889398103108113118125130135140145150155160539823283338434853[[#This Row],[Cost]],RentalAssistance1968737883889398103108113118125130135140145150155160539823283338434853[[#This Row],[Frequency]]="Per day",RentalAssistance1968737883889398103108113118125130135140145150155160539823283338434853[[#This Row],[Cost]]*30,RentalAssistance1968737883889398103108113118125130135140145150155160539823283338434853[[#This Row],[Frequency]]="One-time",RentalAssistance1968737883889398103108113118125130135140145150155160539823283338434853[[#This Row],[Cost]]/SUM($C$18,$C$19))))</f>
        <v>#N/A</v>
      </c>
      <c r="H83" s="46" t="e">
        <f>RentalAssistance1968737883889398103108113118125130135140145150155160539823283338434853[[#This Row],[Monthly Cost Per Unit]]*12</f>
        <v>#N/A</v>
      </c>
    </row>
    <row r="84" spans="1:8" x14ac:dyDescent="0.25">
      <c r="A84" s="75"/>
      <c r="B84" s="75"/>
      <c r="C84" s="77"/>
      <c r="D84" s="78"/>
      <c r="E84" s="79"/>
      <c r="F84" s="79"/>
      <c r="G84" s="53" t="e" cm="1">
        <f t="array" ref="G84">_xlfn.IFS(RentalAssistance1968737883889398103108113118125130135140145150155160539823283338434853[[#This Row],[Unit]]="Program-wide",((_xlfn.IFS(RentalAssistance1968737883889398103108113118125130135140145150155160539823283338434853[[#This Row],[Frequency]]="Per Year",RentalAssistance1968737883889398103108113118125130135140145150155160539823283338434853[[#This Row],[Cost]]/12,RentalAssistance1968737883889398103108113118125130135140145150155160539823283338434853[[#This Row],[Frequency]]="Per month",RentalAssistance1968737883889398103108113118125130135140145150155160539823283338434853[[#This Row],[Cost]],RentalAssistance1968737883889398103108113118125130135140145150155160539823283338434853[[#This Row],[Frequency]]="Per day",RentalAssistance1968737883889398103108113118125130135140145150155160539823283338434853[[#This Row],[Cost]]*30,RentalAssistance1968737883889398103108113118125130135140145150155160539823283338434853[[#This Row],[Frequency]]="One-time",RentalAssistance1968737883889398103108113118125130135140145150155160539823283338434853[[#This Row],[Cost]]/SUM($C$18,$C$19)))/$C$17),RentalAssistance1968737883889398103108113118125130135140145150155160539823283338434853[[#This Row],[Unit]]="Per unit/space/household",(_xlfn.IFS(RentalAssistance1968737883889398103108113118125130135140145150155160539823283338434853[[#This Row],[Frequency]]="Per Year",RentalAssistance1968737883889398103108113118125130135140145150155160539823283338434853[[#This Row],[Cost]]/12,RentalAssistance1968737883889398103108113118125130135140145150155160539823283338434853[[#This Row],[Frequency]]="Per month",RentalAssistance1968737883889398103108113118125130135140145150155160539823283338434853[[#This Row],[Cost]],RentalAssistance1968737883889398103108113118125130135140145150155160539823283338434853[[#This Row],[Frequency]]="Per day",RentalAssistance1968737883889398103108113118125130135140145150155160539823283338434853[[#This Row],[Cost]]*30,RentalAssistance1968737883889398103108113118125130135140145150155160539823283338434853[[#This Row],[Frequency]]="One-time",RentalAssistance1968737883889398103108113118125130135140145150155160539823283338434853[[#This Row],[Cost]]/SUM($C$18,$C$19))))</f>
        <v>#N/A</v>
      </c>
      <c r="H84" s="46" t="e">
        <f>RentalAssistance1968737883889398103108113118125130135140145150155160539823283338434853[[#This Row],[Monthly Cost Per Unit]]*12</f>
        <v>#N/A</v>
      </c>
    </row>
    <row r="85" spans="1:8" x14ac:dyDescent="0.25">
      <c r="A85" s="80"/>
      <c r="B85" s="80"/>
      <c r="C85" s="82"/>
      <c r="D85" s="83"/>
      <c r="E85" s="84"/>
      <c r="F85" s="84"/>
      <c r="G85" s="55" t="e" cm="1">
        <f t="array" ref="G85">_xlfn.IFS(RentalAssistance1968737883889398103108113118125130135140145150155160539823283338434853[[#This Row],[Unit]]="Program-wide",((_xlfn.IFS(RentalAssistance1968737883889398103108113118125130135140145150155160539823283338434853[[#This Row],[Frequency]]="Per Year",RentalAssistance1968737883889398103108113118125130135140145150155160539823283338434853[[#This Row],[Cost]]/12,RentalAssistance1968737883889398103108113118125130135140145150155160539823283338434853[[#This Row],[Frequency]]="Per month",RentalAssistance1968737883889398103108113118125130135140145150155160539823283338434853[[#This Row],[Cost]],RentalAssistance1968737883889398103108113118125130135140145150155160539823283338434853[[#This Row],[Frequency]]="Per day",RentalAssistance1968737883889398103108113118125130135140145150155160539823283338434853[[#This Row],[Cost]]*30,RentalAssistance1968737883889398103108113118125130135140145150155160539823283338434853[[#This Row],[Frequency]]="One-time",RentalAssistance1968737883889398103108113118125130135140145150155160539823283338434853[[#This Row],[Cost]]/SUM($C$18,$C$19)))/$C$17),RentalAssistance1968737883889398103108113118125130135140145150155160539823283338434853[[#This Row],[Unit]]="Per unit/space/household",(_xlfn.IFS(RentalAssistance1968737883889398103108113118125130135140145150155160539823283338434853[[#This Row],[Frequency]]="Per Year",RentalAssistance1968737883889398103108113118125130135140145150155160539823283338434853[[#This Row],[Cost]]/12,RentalAssistance1968737883889398103108113118125130135140145150155160539823283338434853[[#This Row],[Frequency]]="Per month",RentalAssistance1968737883889398103108113118125130135140145150155160539823283338434853[[#This Row],[Cost]],RentalAssistance1968737883889398103108113118125130135140145150155160539823283338434853[[#This Row],[Frequency]]="Per day",RentalAssistance1968737883889398103108113118125130135140145150155160539823283338434853[[#This Row],[Cost]]*30,RentalAssistance1968737883889398103108113118125130135140145150155160539823283338434853[[#This Row],[Frequency]]="One-time",RentalAssistance1968737883889398103108113118125130135140145150155160539823283338434853[[#This Row],[Cost]]/SUM($C$18,$C$19))))</f>
        <v>#N/A</v>
      </c>
      <c r="H85" s="46" t="e">
        <f>RentalAssistance1968737883889398103108113118125130135140145150155160539823283338434853[[#This Row],[Monthly Cost Per Unit]]*12</f>
        <v>#N/A</v>
      </c>
    </row>
    <row r="86" spans="1:8" x14ac:dyDescent="0.25">
      <c r="A86" s="107" t="s">
        <v>20</v>
      </c>
      <c r="B86" s="107"/>
      <c r="C86" s="108" t="s">
        <v>68</v>
      </c>
      <c r="D86" s="109"/>
      <c r="E86" s="108"/>
      <c r="F86" s="108"/>
      <c r="G86" s="118"/>
      <c r="H86" s="111">
        <f>(SUMIF(RentalAssistance1968737883889398103108113118125130135140145150155160539823283338434853[Duration],"While homeless only",RentalAssistance1968737883889398103108113118125130135140145150155160539823283338434853[Monthly Cost Per Unit]))*12</f>
        <v>0</v>
      </c>
    </row>
    <row r="87" spans="1:8" x14ac:dyDescent="0.25">
      <c r="A87" s="112"/>
      <c r="B87" s="112"/>
      <c r="C87" s="108" t="s">
        <v>63</v>
      </c>
      <c r="D87" s="109"/>
      <c r="E87" s="108"/>
      <c r="F87" s="108"/>
      <c r="G87" s="111"/>
      <c r="H87" s="111">
        <f>(SUMIF(RentalAssistance1968737883889398103108113118125130135140145150155160539823283338434853[Duration],"While housed only",RentalAssistance1968737883889398103108113118125130135140145150155160539823283338434853[Monthly Cost Per Unit]))*12</f>
        <v>0</v>
      </c>
    </row>
    <row r="88" spans="1:8" x14ac:dyDescent="0.25">
      <c r="A88" s="112"/>
      <c r="B88" s="112"/>
      <c r="C88" s="108" t="s">
        <v>58</v>
      </c>
      <c r="D88" s="109"/>
      <c r="E88" s="108"/>
      <c r="F88" s="108"/>
      <c r="G88" s="111"/>
      <c r="H88" s="111">
        <f>(SUMIF(RentalAssistance1968737883889398103108113118125130135140145150155160539823283338434853[Duration],"Homeless &amp; housed",RentalAssistance1968737883889398103108113118125130135140145150155160539823283338434853[Monthly Cost Per Unit]))*12</f>
        <v>0</v>
      </c>
    </row>
    <row r="89" spans="1:8" ht="15.75" thickBot="1" x14ac:dyDescent="0.3">
      <c r="A89" s="113"/>
      <c r="B89" s="113"/>
      <c r="C89" s="114" t="s">
        <v>207</v>
      </c>
      <c r="D89" s="115"/>
      <c r="E89" s="114"/>
      <c r="F89" s="114"/>
      <c r="G89" s="117"/>
      <c r="H89" s="117">
        <f>(SUMIF(RentalAssistance1968737883889398103108113118125130135140145150155160539823283338434853[Duration],"N/A",RentalAssistance1968737883889398103108113118125130135140145150155160539823283338434853[Monthly Cost Per Unit]))*12</f>
        <v>0</v>
      </c>
    </row>
    <row r="90" spans="1:8" ht="16.5" thickTop="1" thickBot="1" x14ac:dyDescent="0.3">
      <c r="A90" s="113"/>
      <c r="B90" s="113"/>
      <c r="C90" s="114" t="s">
        <v>42</v>
      </c>
      <c r="D90" s="115"/>
      <c r="E90" s="114"/>
      <c r="F90" s="114"/>
      <c r="G90" s="117"/>
      <c r="H90" s="117">
        <f>SUM(H86:H89)</f>
        <v>0</v>
      </c>
    </row>
    <row r="91" spans="1:8" ht="15.75" thickTop="1" x14ac:dyDescent="0.25">
      <c r="A91" s="146"/>
      <c r="B91" s="137"/>
      <c r="C91" s="137"/>
      <c r="D91" s="137"/>
      <c r="E91" s="137"/>
      <c r="F91" s="138"/>
      <c r="G91"/>
      <c r="H91" s="128"/>
    </row>
    <row r="92" spans="1:8" x14ac:dyDescent="0.25">
      <c r="A92" s="274" t="s">
        <v>88</v>
      </c>
      <c r="B92" s="274"/>
      <c r="C92" s="274"/>
      <c r="D92" s="274"/>
      <c r="E92" s="274"/>
      <c r="F92" s="274"/>
      <c r="G92" s="274"/>
      <c r="H92" s="274"/>
    </row>
    <row r="93" spans="1:8" ht="32.25" customHeight="1" outlineLevel="1" x14ac:dyDescent="0.25">
      <c r="A93" s="294" t="s">
        <v>89</v>
      </c>
      <c r="B93" s="294"/>
      <c r="C93" s="294"/>
      <c r="D93" s="294"/>
      <c r="E93" s="294"/>
      <c r="F93" s="294"/>
      <c r="G93" s="294"/>
      <c r="H93" s="294"/>
    </row>
    <row r="94" spans="1:8" ht="30" x14ac:dyDescent="0.25">
      <c r="A94" s="131" t="s">
        <v>51</v>
      </c>
      <c r="B94" s="131" t="s">
        <v>52</v>
      </c>
      <c r="C94" s="131" t="s">
        <v>53</v>
      </c>
      <c r="D94" s="131" t="s">
        <v>54</v>
      </c>
      <c r="E94" s="131" t="s">
        <v>55</v>
      </c>
      <c r="F94" s="131" t="s">
        <v>56</v>
      </c>
      <c r="G94" s="131" t="s">
        <v>57</v>
      </c>
      <c r="H94" s="132" t="s">
        <v>20</v>
      </c>
    </row>
    <row r="95" spans="1:8" x14ac:dyDescent="0.25">
      <c r="A95" s="75"/>
      <c r="B95" s="75"/>
      <c r="C95" s="77"/>
      <c r="D95" s="78"/>
      <c r="E95" s="79"/>
      <c r="F95" s="76"/>
      <c r="G95" s="53" t="e" cm="1">
        <f t="array" ref="G95">_xlfn.IFS(Services11069747984899499104109114119126131136141146151156161549924293439444954[[#This Row],[Unit]]="Program-wide",((_xlfn.IFS(Services11069747984899499104109114119126131136141146151156161549924293439444954[[#This Row],[Frequency]]="Per Year",Services11069747984899499104109114119126131136141146151156161549924293439444954[[#This Row],[Cost]]/12,Services11069747984899499104109114119126131136141146151156161549924293439444954[[#This Row],[Frequency]]="Per month",Services11069747984899499104109114119126131136141146151156161549924293439444954[[#This Row],[Cost]],Services11069747984899499104109114119126131136141146151156161549924293439444954[[#This Row],[Frequency]]="Per day",Services11069747984899499104109114119126131136141146151156161549924293439444954[[#This Row],[Cost]]*30,Services11069747984899499104109114119126131136141146151156161549924293439444954[[#This Row],[Frequency]]="One-time",Services11069747984899499104109114119126131136141146151156161549924293439444954[[#This Row],[Cost]]/SUM($C$18,$C$19)))/$C$17),Services11069747984899499104109114119126131136141146151156161549924293439444954[[#This Row],[Unit]]="Per unit/space/household",(_xlfn.IFS(Services11069747984899499104109114119126131136141146151156161549924293439444954[[#This Row],[Frequency]]="Per Year",Services11069747984899499104109114119126131136141146151156161549924293439444954[[#This Row],[Cost]]/12,Services11069747984899499104109114119126131136141146151156161549924293439444954[[#This Row],[Frequency]]="Per month",Services11069747984899499104109114119126131136141146151156161549924293439444954[[#This Row],[Cost]],Services11069747984899499104109114119126131136141146151156161549924293439444954[[#This Row],[Frequency]]="Per day",Services11069747984899499104109114119126131136141146151156161549924293439444954[[#This Row],[Cost]]*30,Services11069747984899499104109114119126131136141146151156161549924293439444954[[#This Row],[Frequency]]="One-time",Services11069747984899499104109114119126131136141146151156161549924293439444954[[#This Row],[Cost]]/SUM($C$18,$C$19))))</f>
        <v>#N/A</v>
      </c>
      <c r="H95" s="46" t="e">
        <f>Services11069747984899499104109114119126131136141146151156161549924293439444954[[#This Row],[Monthly Cost Per Unit]]*12</f>
        <v>#N/A</v>
      </c>
    </row>
    <row r="96" spans="1:8" x14ac:dyDescent="0.25">
      <c r="A96" s="75"/>
      <c r="B96" s="75"/>
      <c r="C96" s="77"/>
      <c r="D96" s="78"/>
      <c r="E96" s="79"/>
      <c r="F96" s="76"/>
      <c r="G96" s="53" t="e" cm="1">
        <f t="array" ref="G96">_xlfn.IFS(Services11069747984899499104109114119126131136141146151156161549924293439444954[[#This Row],[Unit]]="Program-wide",((_xlfn.IFS(Services11069747984899499104109114119126131136141146151156161549924293439444954[[#This Row],[Frequency]]="Per Year",Services11069747984899499104109114119126131136141146151156161549924293439444954[[#This Row],[Cost]]/12,Services11069747984899499104109114119126131136141146151156161549924293439444954[[#This Row],[Frequency]]="Per month",Services11069747984899499104109114119126131136141146151156161549924293439444954[[#This Row],[Cost]],Services11069747984899499104109114119126131136141146151156161549924293439444954[[#This Row],[Frequency]]="Per day",Services11069747984899499104109114119126131136141146151156161549924293439444954[[#This Row],[Cost]]*30,Services11069747984899499104109114119126131136141146151156161549924293439444954[[#This Row],[Frequency]]="One-time",Services11069747984899499104109114119126131136141146151156161549924293439444954[[#This Row],[Cost]]/SUM($C$18,$C$19)))/$C$17),Services11069747984899499104109114119126131136141146151156161549924293439444954[[#This Row],[Unit]]="Per unit/space/household",(_xlfn.IFS(Services11069747984899499104109114119126131136141146151156161549924293439444954[[#This Row],[Frequency]]="Per Year",Services11069747984899499104109114119126131136141146151156161549924293439444954[[#This Row],[Cost]]/12,Services11069747984899499104109114119126131136141146151156161549924293439444954[[#This Row],[Frequency]]="Per month",Services11069747984899499104109114119126131136141146151156161549924293439444954[[#This Row],[Cost]],Services11069747984899499104109114119126131136141146151156161549924293439444954[[#This Row],[Frequency]]="Per day",Services11069747984899499104109114119126131136141146151156161549924293439444954[[#This Row],[Cost]]*30,Services11069747984899499104109114119126131136141146151156161549924293439444954[[#This Row],[Frequency]]="One-time",Services11069747984899499104109114119126131136141146151156161549924293439444954[[#This Row],[Cost]]/SUM($C$18,$C$19))))</f>
        <v>#N/A</v>
      </c>
      <c r="H96" s="46" t="e">
        <f>Services11069747984899499104109114119126131136141146151156161549924293439444954[[#This Row],[Monthly Cost Per Unit]]*12</f>
        <v>#N/A</v>
      </c>
    </row>
    <row r="97" spans="1:8" x14ac:dyDescent="0.25">
      <c r="A97" s="75"/>
      <c r="B97" s="75"/>
      <c r="C97" s="77"/>
      <c r="D97" s="78"/>
      <c r="E97" s="79"/>
      <c r="F97" s="76"/>
      <c r="G97" s="53" t="e" cm="1">
        <f t="array" ref="G97">_xlfn.IFS(Services11069747984899499104109114119126131136141146151156161549924293439444954[[#This Row],[Unit]]="Program-wide",((_xlfn.IFS(Services11069747984899499104109114119126131136141146151156161549924293439444954[[#This Row],[Frequency]]="Per Year",Services11069747984899499104109114119126131136141146151156161549924293439444954[[#This Row],[Cost]]/12,Services11069747984899499104109114119126131136141146151156161549924293439444954[[#This Row],[Frequency]]="Per month",Services11069747984899499104109114119126131136141146151156161549924293439444954[[#This Row],[Cost]],Services11069747984899499104109114119126131136141146151156161549924293439444954[[#This Row],[Frequency]]="Per day",Services11069747984899499104109114119126131136141146151156161549924293439444954[[#This Row],[Cost]]*30,Services11069747984899499104109114119126131136141146151156161549924293439444954[[#This Row],[Frequency]]="One-time",Services11069747984899499104109114119126131136141146151156161549924293439444954[[#This Row],[Cost]]/SUM($C$18,$C$19)))/$C$17),Services11069747984899499104109114119126131136141146151156161549924293439444954[[#This Row],[Unit]]="Per unit/space/household",(_xlfn.IFS(Services11069747984899499104109114119126131136141146151156161549924293439444954[[#This Row],[Frequency]]="Per Year",Services11069747984899499104109114119126131136141146151156161549924293439444954[[#This Row],[Cost]]/12,Services11069747984899499104109114119126131136141146151156161549924293439444954[[#This Row],[Frequency]]="Per month",Services11069747984899499104109114119126131136141146151156161549924293439444954[[#This Row],[Cost]],Services11069747984899499104109114119126131136141146151156161549924293439444954[[#This Row],[Frequency]]="Per day",Services11069747984899499104109114119126131136141146151156161549924293439444954[[#This Row],[Cost]]*30,Services11069747984899499104109114119126131136141146151156161549924293439444954[[#This Row],[Frequency]]="One-time",Services11069747984899499104109114119126131136141146151156161549924293439444954[[#This Row],[Cost]]/SUM($C$18,$C$19))))</f>
        <v>#N/A</v>
      </c>
      <c r="H97" s="46" t="e">
        <f>Services11069747984899499104109114119126131136141146151156161549924293439444954[[#This Row],[Monthly Cost Per Unit]]*12</f>
        <v>#N/A</v>
      </c>
    </row>
    <row r="98" spans="1:8" x14ac:dyDescent="0.25">
      <c r="A98" s="75"/>
      <c r="B98" s="75"/>
      <c r="C98" s="77"/>
      <c r="D98" s="78"/>
      <c r="E98" s="79"/>
      <c r="F98" s="76"/>
      <c r="G98" s="53" t="e" cm="1">
        <f t="array" ref="G98">_xlfn.IFS(Services11069747984899499104109114119126131136141146151156161549924293439444954[[#This Row],[Unit]]="Program-wide",((_xlfn.IFS(Services11069747984899499104109114119126131136141146151156161549924293439444954[[#This Row],[Frequency]]="Per Year",Services11069747984899499104109114119126131136141146151156161549924293439444954[[#This Row],[Cost]]/12,Services11069747984899499104109114119126131136141146151156161549924293439444954[[#This Row],[Frequency]]="Per month",Services11069747984899499104109114119126131136141146151156161549924293439444954[[#This Row],[Cost]],Services11069747984899499104109114119126131136141146151156161549924293439444954[[#This Row],[Frequency]]="Per day",Services11069747984899499104109114119126131136141146151156161549924293439444954[[#This Row],[Cost]]*30,Services11069747984899499104109114119126131136141146151156161549924293439444954[[#This Row],[Frequency]]="One-time",Services11069747984899499104109114119126131136141146151156161549924293439444954[[#This Row],[Cost]]/SUM($C$18,$C$19)))/$C$17),Services11069747984899499104109114119126131136141146151156161549924293439444954[[#This Row],[Unit]]="Per unit/space/household",(_xlfn.IFS(Services11069747984899499104109114119126131136141146151156161549924293439444954[[#This Row],[Frequency]]="Per Year",Services11069747984899499104109114119126131136141146151156161549924293439444954[[#This Row],[Cost]]/12,Services11069747984899499104109114119126131136141146151156161549924293439444954[[#This Row],[Frequency]]="Per month",Services11069747984899499104109114119126131136141146151156161549924293439444954[[#This Row],[Cost]],Services11069747984899499104109114119126131136141146151156161549924293439444954[[#This Row],[Frequency]]="Per day",Services11069747984899499104109114119126131136141146151156161549924293439444954[[#This Row],[Cost]]*30,Services11069747984899499104109114119126131136141146151156161549924293439444954[[#This Row],[Frequency]]="One-time",Services11069747984899499104109114119126131136141146151156161549924293439444954[[#This Row],[Cost]]/SUM($C$18,$C$19))))</f>
        <v>#N/A</v>
      </c>
      <c r="H98" s="46" t="e">
        <f>Services11069747984899499104109114119126131136141146151156161549924293439444954[[#This Row],[Monthly Cost Per Unit]]*12</f>
        <v>#N/A</v>
      </c>
    </row>
    <row r="99" spans="1:8" x14ac:dyDescent="0.25">
      <c r="A99" s="75"/>
      <c r="B99" s="75"/>
      <c r="C99" s="77"/>
      <c r="D99" s="78"/>
      <c r="E99" s="79"/>
      <c r="F99" s="76"/>
      <c r="G99" s="53" t="e" cm="1">
        <f t="array" ref="G99">_xlfn.IFS(Services11069747984899499104109114119126131136141146151156161549924293439444954[[#This Row],[Unit]]="Program-wide",((_xlfn.IFS(Services11069747984899499104109114119126131136141146151156161549924293439444954[[#This Row],[Frequency]]="Per Year",Services11069747984899499104109114119126131136141146151156161549924293439444954[[#This Row],[Cost]]/12,Services11069747984899499104109114119126131136141146151156161549924293439444954[[#This Row],[Frequency]]="Per month",Services11069747984899499104109114119126131136141146151156161549924293439444954[[#This Row],[Cost]],Services11069747984899499104109114119126131136141146151156161549924293439444954[[#This Row],[Frequency]]="Per day",Services11069747984899499104109114119126131136141146151156161549924293439444954[[#This Row],[Cost]]*30,Services11069747984899499104109114119126131136141146151156161549924293439444954[[#This Row],[Frequency]]="One-time",Services11069747984899499104109114119126131136141146151156161549924293439444954[[#This Row],[Cost]]/SUM($C$18,$C$19)))/$C$17),Services11069747984899499104109114119126131136141146151156161549924293439444954[[#This Row],[Unit]]="Per unit/space/household",(_xlfn.IFS(Services11069747984899499104109114119126131136141146151156161549924293439444954[[#This Row],[Frequency]]="Per Year",Services11069747984899499104109114119126131136141146151156161549924293439444954[[#This Row],[Cost]]/12,Services11069747984899499104109114119126131136141146151156161549924293439444954[[#This Row],[Frequency]]="Per month",Services11069747984899499104109114119126131136141146151156161549924293439444954[[#This Row],[Cost]],Services11069747984899499104109114119126131136141146151156161549924293439444954[[#This Row],[Frequency]]="Per day",Services11069747984899499104109114119126131136141146151156161549924293439444954[[#This Row],[Cost]]*30,Services11069747984899499104109114119126131136141146151156161549924293439444954[[#This Row],[Frequency]]="One-time",Services11069747984899499104109114119126131136141146151156161549924293439444954[[#This Row],[Cost]]/SUM($C$18,$C$19))))</f>
        <v>#N/A</v>
      </c>
      <c r="H99" s="46" t="e">
        <f>Services11069747984899499104109114119126131136141146151156161549924293439444954[[#This Row],[Monthly Cost Per Unit]]*12</f>
        <v>#N/A</v>
      </c>
    </row>
    <row r="100" spans="1:8" x14ac:dyDescent="0.25">
      <c r="A100" s="75"/>
      <c r="B100" s="75"/>
      <c r="C100" s="77"/>
      <c r="D100" s="78"/>
      <c r="E100" s="79"/>
      <c r="F100" s="76"/>
      <c r="G100" s="53" t="e" cm="1">
        <f t="array" ref="G100">_xlfn.IFS(Services11069747984899499104109114119126131136141146151156161549924293439444954[[#This Row],[Unit]]="Program-wide",((_xlfn.IFS(Services11069747984899499104109114119126131136141146151156161549924293439444954[[#This Row],[Frequency]]="Per Year",Services11069747984899499104109114119126131136141146151156161549924293439444954[[#This Row],[Cost]]/12,Services11069747984899499104109114119126131136141146151156161549924293439444954[[#This Row],[Frequency]]="Per month",Services11069747984899499104109114119126131136141146151156161549924293439444954[[#This Row],[Cost]],Services11069747984899499104109114119126131136141146151156161549924293439444954[[#This Row],[Frequency]]="Per day",Services11069747984899499104109114119126131136141146151156161549924293439444954[[#This Row],[Cost]]*30,Services11069747984899499104109114119126131136141146151156161549924293439444954[[#This Row],[Frequency]]="One-time",Services11069747984899499104109114119126131136141146151156161549924293439444954[[#This Row],[Cost]]/SUM($C$18,$C$19)))/$C$17),Services11069747984899499104109114119126131136141146151156161549924293439444954[[#This Row],[Unit]]="Per unit/space/household",(_xlfn.IFS(Services11069747984899499104109114119126131136141146151156161549924293439444954[[#This Row],[Frequency]]="Per Year",Services11069747984899499104109114119126131136141146151156161549924293439444954[[#This Row],[Cost]]/12,Services11069747984899499104109114119126131136141146151156161549924293439444954[[#This Row],[Frequency]]="Per month",Services11069747984899499104109114119126131136141146151156161549924293439444954[[#This Row],[Cost]],Services11069747984899499104109114119126131136141146151156161549924293439444954[[#This Row],[Frequency]]="Per day",Services11069747984899499104109114119126131136141146151156161549924293439444954[[#This Row],[Cost]]*30,Services11069747984899499104109114119126131136141146151156161549924293439444954[[#This Row],[Frequency]]="One-time",Services11069747984899499104109114119126131136141146151156161549924293439444954[[#This Row],[Cost]]/SUM($C$18,$C$19))))</f>
        <v>#N/A</v>
      </c>
      <c r="H100" s="46" t="e">
        <f>Services11069747984899499104109114119126131136141146151156161549924293439444954[[#This Row],[Monthly Cost Per Unit]]*12</f>
        <v>#N/A</v>
      </c>
    </row>
    <row r="101" spans="1:8" x14ac:dyDescent="0.25">
      <c r="A101" s="75"/>
      <c r="B101" s="75"/>
      <c r="C101" s="77"/>
      <c r="D101" s="78"/>
      <c r="E101" s="79"/>
      <c r="F101" s="76"/>
      <c r="G101" s="53" t="e" cm="1">
        <f t="array" ref="G101">_xlfn.IFS(Services11069747984899499104109114119126131136141146151156161549924293439444954[[#This Row],[Unit]]="Program-wide",((_xlfn.IFS(Services11069747984899499104109114119126131136141146151156161549924293439444954[[#This Row],[Frequency]]="Per Year",Services11069747984899499104109114119126131136141146151156161549924293439444954[[#This Row],[Cost]]/12,Services11069747984899499104109114119126131136141146151156161549924293439444954[[#This Row],[Frequency]]="Per month",Services11069747984899499104109114119126131136141146151156161549924293439444954[[#This Row],[Cost]],Services11069747984899499104109114119126131136141146151156161549924293439444954[[#This Row],[Frequency]]="Per day",Services11069747984899499104109114119126131136141146151156161549924293439444954[[#This Row],[Cost]]*30,Services11069747984899499104109114119126131136141146151156161549924293439444954[[#This Row],[Frequency]]="One-time",Services11069747984899499104109114119126131136141146151156161549924293439444954[[#This Row],[Cost]]/SUM($C$18,$C$19)))/$C$17),Services11069747984899499104109114119126131136141146151156161549924293439444954[[#This Row],[Unit]]="Per unit/space/household",(_xlfn.IFS(Services11069747984899499104109114119126131136141146151156161549924293439444954[[#This Row],[Frequency]]="Per Year",Services11069747984899499104109114119126131136141146151156161549924293439444954[[#This Row],[Cost]]/12,Services11069747984899499104109114119126131136141146151156161549924293439444954[[#This Row],[Frequency]]="Per month",Services11069747984899499104109114119126131136141146151156161549924293439444954[[#This Row],[Cost]],Services11069747984899499104109114119126131136141146151156161549924293439444954[[#This Row],[Frequency]]="Per day",Services11069747984899499104109114119126131136141146151156161549924293439444954[[#This Row],[Cost]]*30,Services11069747984899499104109114119126131136141146151156161549924293439444954[[#This Row],[Frequency]]="One-time",Services11069747984899499104109114119126131136141146151156161549924293439444954[[#This Row],[Cost]]/SUM($C$18,$C$19))))</f>
        <v>#N/A</v>
      </c>
      <c r="H101" s="46" t="e">
        <f>Services11069747984899499104109114119126131136141146151156161549924293439444954[[#This Row],[Monthly Cost Per Unit]]*12</f>
        <v>#N/A</v>
      </c>
    </row>
    <row r="102" spans="1:8" x14ac:dyDescent="0.25">
      <c r="A102" s="75"/>
      <c r="B102" s="75"/>
      <c r="C102" s="77"/>
      <c r="D102" s="78"/>
      <c r="E102" s="79"/>
      <c r="F102" s="76"/>
      <c r="G102" s="53" t="e" cm="1">
        <f t="array" ref="G102">_xlfn.IFS(Services11069747984899499104109114119126131136141146151156161549924293439444954[[#This Row],[Unit]]="Program-wide",((_xlfn.IFS(Services11069747984899499104109114119126131136141146151156161549924293439444954[[#This Row],[Frequency]]="Per Year",Services11069747984899499104109114119126131136141146151156161549924293439444954[[#This Row],[Cost]]/12,Services11069747984899499104109114119126131136141146151156161549924293439444954[[#This Row],[Frequency]]="Per month",Services11069747984899499104109114119126131136141146151156161549924293439444954[[#This Row],[Cost]],Services11069747984899499104109114119126131136141146151156161549924293439444954[[#This Row],[Frequency]]="Per day",Services11069747984899499104109114119126131136141146151156161549924293439444954[[#This Row],[Cost]]*30,Services11069747984899499104109114119126131136141146151156161549924293439444954[[#This Row],[Frequency]]="One-time",Services11069747984899499104109114119126131136141146151156161549924293439444954[[#This Row],[Cost]]/SUM($C$18,$C$19)))/$C$17),Services11069747984899499104109114119126131136141146151156161549924293439444954[[#This Row],[Unit]]="Per unit/space/household",(_xlfn.IFS(Services11069747984899499104109114119126131136141146151156161549924293439444954[[#This Row],[Frequency]]="Per Year",Services11069747984899499104109114119126131136141146151156161549924293439444954[[#This Row],[Cost]]/12,Services11069747984899499104109114119126131136141146151156161549924293439444954[[#This Row],[Frequency]]="Per month",Services11069747984899499104109114119126131136141146151156161549924293439444954[[#This Row],[Cost]],Services11069747984899499104109114119126131136141146151156161549924293439444954[[#This Row],[Frequency]]="Per day",Services11069747984899499104109114119126131136141146151156161549924293439444954[[#This Row],[Cost]]*30,Services11069747984899499104109114119126131136141146151156161549924293439444954[[#This Row],[Frequency]]="One-time",Services11069747984899499104109114119126131136141146151156161549924293439444954[[#This Row],[Cost]]/SUM($C$18,$C$19))))</f>
        <v>#N/A</v>
      </c>
      <c r="H102" s="46" t="e">
        <f>Services11069747984899499104109114119126131136141146151156161549924293439444954[[#This Row],[Monthly Cost Per Unit]]*12</f>
        <v>#N/A</v>
      </c>
    </row>
    <row r="103" spans="1:8" x14ac:dyDescent="0.25">
      <c r="A103" s="75"/>
      <c r="B103" s="75"/>
      <c r="C103" s="77"/>
      <c r="D103" s="78"/>
      <c r="E103" s="79"/>
      <c r="F103" s="76"/>
      <c r="G103" s="53" t="e" cm="1">
        <f t="array" ref="G103">_xlfn.IFS(Services11069747984899499104109114119126131136141146151156161549924293439444954[[#This Row],[Unit]]="Program-wide",((_xlfn.IFS(Services11069747984899499104109114119126131136141146151156161549924293439444954[[#This Row],[Frequency]]="Per Year",Services11069747984899499104109114119126131136141146151156161549924293439444954[[#This Row],[Cost]]/12,Services11069747984899499104109114119126131136141146151156161549924293439444954[[#This Row],[Frequency]]="Per month",Services11069747984899499104109114119126131136141146151156161549924293439444954[[#This Row],[Cost]],Services11069747984899499104109114119126131136141146151156161549924293439444954[[#This Row],[Frequency]]="Per day",Services11069747984899499104109114119126131136141146151156161549924293439444954[[#This Row],[Cost]]*30,Services11069747984899499104109114119126131136141146151156161549924293439444954[[#This Row],[Frequency]]="One-time",Services11069747984899499104109114119126131136141146151156161549924293439444954[[#This Row],[Cost]]/SUM($C$18,$C$19)))/$C$17),Services11069747984899499104109114119126131136141146151156161549924293439444954[[#This Row],[Unit]]="Per unit/space/household",(_xlfn.IFS(Services11069747984899499104109114119126131136141146151156161549924293439444954[[#This Row],[Frequency]]="Per Year",Services11069747984899499104109114119126131136141146151156161549924293439444954[[#This Row],[Cost]]/12,Services11069747984899499104109114119126131136141146151156161549924293439444954[[#This Row],[Frequency]]="Per month",Services11069747984899499104109114119126131136141146151156161549924293439444954[[#This Row],[Cost]],Services11069747984899499104109114119126131136141146151156161549924293439444954[[#This Row],[Frequency]]="Per day",Services11069747984899499104109114119126131136141146151156161549924293439444954[[#This Row],[Cost]]*30,Services11069747984899499104109114119126131136141146151156161549924293439444954[[#This Row],[Frequency]]="One-time",Services11069747984899499104109114119126131136141146151156161549924293439444954[[#This Row],[Cost]]/SUM($C$18,$C$19))))</f>
        <v>#N/A</v>
      </c>
      <c r="H103" s="46" t="e">
        <f>Services11069747984899499104109114119126131136141146151156161549924293439444954[[#This Row],[Monthly Cost Per Unit]]*12</f>
        <v>#N/A</v>
      </c>
    </row>
    <row r="104" spans="1:8" x14ac:dyDescent="0.25">
      <c r="A104" s="75"/>
      <c r="B104" s="75"/>
      <c r="C104" s="77"/>
      <c r="D104" s="78"/>
      <c r="E104" s="79"/>
      <c r="F104" s="76"/>
      <c r="G104" s="53" t="e" cm="1">
        <f t="array" ref="G104">_xlfn.IFS(Services11069747984899499104109114119126131136141146151156161549924293439444954[[#This Row],[Unit]]="Program-wide",((_xlfn.IFS(Services11069747984899499104109114119126131136141146151156161549924293439444954[[#This Row],[Frequency]]="Per Year",Services11069747984899499104109114119126131136141146151156161549924293439444954[[#This Row],[Cost]]/12,Services11069747984899499104109114119126131136141146151156161549924293439444954[[#This Row],[Frequency]]="Per month",Services11069747984899499104109114119126131136141146151156161549924293439444954[[#This Row],[Cost]],Services11069747984899499104109114119126131136141146151156161549924293439444954[[#This Row],[Frequency]]="Per day",Services11069747984899499104109114119126131136141146151156161549924293439444954[[#This Row],[Cost]]*30,Services11069747984899499104109114119126131136141146151156161549924293439444954[[#This Row],[Frequency]]="One-time",Services11069747984899499104109114119126131136141146151156161549924293439444954[[#This Row],[Cost]]/SUM($C$18,$C$19)))/$C$17),Services11069747984899499104109114119126131136141146151156161549924293439444954[[#This Row],[Unit]]="Per unit/space/household",(_xlfn.IFS(Services11069747984899499104109114119126131136141146151156161549924293439444954[[#This Row],[Frequency]]="Per Year",Services11069747984899499104109114119126131136141146151156161549924293439444954[[#This Row],[Cost]]/12,Services11069747984899499104109114119126131136141146151156161549924293439444954[[#This Row],[Frequency]]="Per month",Services11069747984899499104109114119126131136141146151156161549924293439444954[[#This Row],[Cost]],Services11069747984899499104109114119126131136141146151156161549924293439444954[[#This Row],[Frequency]]="Per day",Services11069747984899499104109114119126131136141146151156161549924293439444954[[#This Row],[Cost]]*30,Services11069747984899499104109114119126131136141146151156161549924293439444954[[#This Row],[Frequency]]="One-time",Services11069747984899499104109114119126131136141146151156161549924293439444954[[#This Row],[Cost]]/SUM($C$18,$C$19))))</f>
        <v>#N/A</v>
      </c>
      <c r="H104" s="46" t="e">
        <f>Services11069747984899499104109114119126131136141146151156161549924293439444954[[#This Row],[Monthly Cost Per Unit]]*12</f>
        <v>#N/A</v>
      </c>
    </row>
    <row r="105" spans="1:8" x14ac:dyDescent="0.25">
      <c r="A105" s="75"/>
      <c r="B105" s="75"/>
      <c r="C105" s="77"/>
      <c r="D105" s="78"/>
      <c r="E105" s="79"/>
      <c r="F105" s="76"/>
      <c r="G105" s="53" t="e" cm="1">
        <f t="array" ref="G105">_xlfn.IFS(Services11069747984899499104109114119126131136141146151156161549924293439444954[[#This Row],[Unit]]="Program-wide",((_xlfn.IFS(Services11069747984899499104109114119126131136141146151156161549924293439444954[[#This Row],[Frequency]]="Per Year",Services11069747984899499104109114119126131136141146151156161549924293439444954[[#This Row],[Cost]]/12,Services11069747984899499104109114119126131136141146151156161549924293439444954[[#This Row],[Frequency]]="Per month",Services11069747984899499104109114119126131136141146151156161549924293439444954[[#This Row],[Cost]],Services11069747984899499104109114119126131136141146151156161549924293439444954[[#This Row],[Frequency]]="Per day",Services11069747984899499104109114119126131136141146151156161549924293439444954[[#This Row],[Cost]]*30,Services11069747984899499104109114119126131136141146151156161549924293439444954[[#This Row],[Frequency]]="One-time",Services11069747984899499104109114119126131136141146151156161549924293439444954[[#This Row],[Cost]]/SUM($C$18,$C$19)))/$C$17),Services11069747984899499104109114119126131136141146151156161549924293439444954[[#This Row],[Unit]]="Per unit/space/household",(_xlfn.IFS(Services11069747984899499104109114119126131136141146151156161549924293439444954[[#This Row],[Frequency]]="Per Year",Services11069747984899499104109114119126131136141146151156161549924293439444954[[#This Row],[Cost]]/12,Services11069747984899499104109114119126131136141146151156161549924293439444954[[#This Row],[Frequency]]="Per month",Services11069747984899499104109114119126131136141146151156161549924293439444954[[#This Row],[Cost]],Services11069747984899499104109114119126131136141146151156161549924293439444954[[#This Row],[Frequency]]="Per day",Services11069747984899499104109114119126131136141146151156161549924293439444954[[#This Row],[Cost]]*30,Services11069747984899499104109114119126131136141146151156161549924293439444954[[#This Row],[Frequency]]="One-time",Services11069747984899499104109114119126131136141146151156161549924293439444954[[#This Row],[Cost]]/SUM($C$18,$C$19))))</f>
        <v>#N/A</v>
      </c>
      <c r="H105" s="46" t="e">
        <f>Services11069747984899499104109114119126131136141146151156161549924293439444954[[#This Row],[Monthly Cost Per Unit]]*12</f>
        <v>#N/A</v>
      </c>
    </row>
    <row r="106" spans="1:8" x14ac:dyDescent="0.25">
      <c r="A106" s="75"/>
      <c r="B106" s="75"/>
      <c r="C106" s="77"/>
      <c r="D106" s="78"/>
      <c r="E106" s="79"/>
      <c r="F106" s="76"/>
      <c r="G106" s="53" t="e" cm="1">
        <f t="array" ref="G106">_xlfn.IFS(Services11069747984899499104109114119126131136141146151156161549924293439444954[[#This Row],[Unit]]="Program-wide",((_xlfn.IFS(Services11069747984899499104109114119126131136141146151156161549924293439444954[[#This Row],[Frequency]]="Per Year",Services11069747984899499104109114119126131136141146151156161549924293439444954[[#This Row],[Cost]]/12,Services11069747984899499104109114119126131136141146151156161549924293439444954[[#This Row],[Frequency]]="Per month",Services11069747984899499104109114119126131136141146151156161549924293439444954[[#This Row],[Cost]],Services11069747984899499104109114119126131136141146151156161549924293439444954[[#This Row],[Frequency]]="Per day",Services11069747984899499104109114119126131136141146151156161549924293439444954[[#This Row],[Cost]]*30,Services11069747984899499104109114119126131136141146151156161549924293439444954[[#This Row],[Frequency]]="One-time",Services11069747984899499104109114119126131136141146151156161549924293439444954[[#This Row],[Cost]]/SUM($C$18,$C$19)))/$C$17),Services11069747984899499104109114119126131136141146151156161549924293439444954[[#This Row],[Unit]]="Per unit/space/household",(_xlfn.IFS(Services11069747984899499104109114119126131136141146151156161549924293439444954[[#This Row],[Frequency]]="Per Year",Services11069747984899499104109114119126131136141146151156161549924293439444954[[#This Row],[Cost]]/12,Services11069747984899499104109114119126131136141146151156161549924293439444954[[#This Row],[Frequency]]="Per month",Services11069747984899499104109114119126131136141146151156161549924293439444954[[#This Row],[Cost]],Services11069747984899499104109114119126131136141146151156161549924293439444954[[#This Row],[Frequency]]="Per day",Services11069747984899499104109114119126131136141146151156161549924293439444954[[#This Row],[Cost]]*30,Services11069747984899499104109114119126131136141146151156161549924293439444954[[#This Row],[Frequency]]="One-time",Services11069747984899499104109114119126131136141146151156161549924293439444954[[#This Row],[Cost]]/SUM($C$18,$C$19))))</f>
        <v>#N/A</v>
      </c>
      <c r="H106" s="46" t="e">
        <f>Services11069747984899499104109114119126131136141146151156161549924293439444954[[#This Row],[Monthly Cost Per Unit]]*12</f>
        <v>#N/A</v>
      </c>
    </row>
    <row r="107" spans="1:8" x14ac:dyDescent="0.25">
      <c r="A107" s="80"/>
      <c r="B107" s="80"/>
      <c r="C107" s="82"/>
      <c r="D107" s="83"/>
      <c r="E107" s="84"/>
      <c r="F107" s="81"/>
      <c r="G107" s="55" t="e" cm="1">
        <f t="array" ref="G107">_xlfn.IFS(Services11069747984899499104109114119126131136141146151156161549924293439444954[[#This Row],[Unit]]="Program-wide",((_xlfn.IFS(Services11069747984899499104109114119126131136141146151156161549924293439444954[[#This Row],[Frequency]]="Per Year",Services11069747984899499104109114119126131136141146151156161549924293439444954[[#This Row],[Cost]]/12,Services11069747984899499104109114119126131136141146151156161549924293439444954[[#This Row],[Frequency]]="Per month",Services11069747984899499104109114119126131136141146151156161549924293439444954[[#This Row],[Cost]],Services11069747984899499104109114119126131136141146151156161549924293439444954[[#This Row],[Frequency]]="Per day",Services11069747984899499104109114119126131136141146151156161549924293439444954[[#This Row],[Cost]]*30,Services11069747984899499104109114119126131136141146151156161549924293439444954[[#This Row],[Frequency]]="One-time",Services11069747984899499104109114119126131136141146151156161549924293439444954[[#This Row],[Cost]]/SUM($C$18,$C$19)))/$C$17),Services11069747984899499104109114119126131136141146151156161549924293439444954[[#This Row],[Unit]]="Per unit/space/household",(_xlfn.IFS(Services11069747984899499104109114119126131136141146151156161549924293439444954[[#This Row],[Frequency]]="Per Year",Services11069747984899499104109114119126131136141146151156161549924293439444954[[#This Row],[Cost]]/12,Services11069747984899499104109114119126131136141146151156161549924293439444954[[#This Row],[Frequency]]="Per month",Services11069747984899499104109114119126131136141146151156161549924293439444954[[#This Row],[Cost]],Services11069747984899499104109114119126131136141146151156161549924293439444954[[#This Row],[Frequency]]="Per day",Services11069747984899499104109114119126131136141146151156161549924293439444954[[#This Row],[Cost]]*30,Services11069747984899499104109114119126131136141146151156161549924293439444954[[#This Row],[Frequency]]="One-time",Services11069747984899499104109114119126131136141146151156161549924293439444954[[#This Row],[Cost]]/SUM($C$18,$C$19))))</f>
        <v>#N/A</v>
      </c>
      <c r="H107" s="46" t="e">
        <f>Services11069747984899499104109114119126131136141146151156161549924293439444954[[#This Row],[Monthly Cost Per Unit]]*12</f>
        <v>#N/A</v>
      </c>
    </row>
    <row r="108" spans="1:8" x14ac:dyDescent="0.25">
      <c r="A108" s="107" t="s">
        <v>20</v>
      </c>
      <c r="B108" s="107"/>
      <c r="C108" s="108" t="s">
        <v>68</v>
      </c>
      <c r="D108" s="109"/>
      <c r="E108" s="108"/>
      <c r="F108" s="108"/>
      <c r="G108" s="118"/>
      <c r="H108" s="111">
        <f>(SUMIF(Services11069747984899499104109114119126131136141146151156161549924293439444954[Duration],"While homeless only",Services11069747984899499104109114119126131136141146151156161549924293439444954[Monthly Cost Per Unit]))*12</f>
        <v>0</v>
      </c>
    </row>
    <row r="109" spans="1:8" x14ac:dyDescent="0.25">
      <c r="A109" s="112"/>
      <c r="B109" s="112"/>
      <c r="C109" s="108" t="s">
        <v>63</v>
      </c>
      <c r="D109" s="109"/>
      <c r="E109" s="108"/>
      <c r="F109" s="108"/>
      <c r="G109" s="111"/>
      <c r="H109" s="111">
        <f>(SUMIF(Services11069747984899499104109114119126131136141146151156161549924293439444954[Duration],"While housed only",Services11069747984899499104109114119126131136141146151156161549924293439444954[Monthly Cost Per Unit]))*12</f>
        <v>0</v>
      </c>
    </row>
    <row r="110" spans="1:8" x14ac:dyDescent="0.25">
      <c r="A110" s="112"/>
      <c r="B110" s="112"/>
      <c r="C110" s="108" t="s">
        <v>58</v>
      </c>
      <c r="D110" s="109"/>
      <c r="E110" s="108"/>
      <c r="F110" s="108"/>
      <c r="G110" s="111"/>
      <c r="H110" s="111">
        <f>(SUMIF(Services11069747984899499104109114119126131136141146151156161549924293439444954[Duration],"Homeless &amp; housed",Services11069747984899499104109114119126131136141146151156161549924293439444954[Monthly Cost Per Unit]))*12</f>
        <v>0</v>
      </c>
    </row>
    <row r="111" spans="1:8" ht="15.75" thickBot="1" x14ac:dyDescent="0.3">
      <c r="A111" s="113"/>
      <c r="B111" s="113"/>
      <c r="C111" s="114" t="s">
        <v>207</v>
      </c>
      <c r="D111" s="115"/>
      <c r="E111" s="114"/>
      <c r="F111" s="114"/>
      <c r="G111" s="117"/>
      <c r="H111" s="117">
        <f>(SUMIF(Services11069747984899499104109114119126131136141146151156161549924293439444954[Duration],"N/A",Services11069747984899499104109114119126131136141146151156161549924293439444954[Monthly Cost Per Unit]))*12</f>
        <v>0</v>
      </c>
    </row>
    <row r="112" spans="1:8" ht="16.5" thickTop="1" thickBot="1" x14ac:dyDescent="0.3">
      <c r="A112" s="113"/>
      <c r="B112" s="113"/>
      <c r="C112" s="114" t="s">
        <v>42</v>
      </c>
      <c r="D112" s="115"/>
      <c r="E112" s="114"/>
      <c r="F112" s="114"/>
      <c r="G112" s="117"/>
      <c r="H112" s="117">
        <f>SUM(H108:H111)</f>
        <v>0</v>
      </c>
    </row>
    <row r="113" spans="1:9" ht="15.75" thickTop="1" x14ac:dyDescent="0.25">
      <c r="A113"/>
      <c r="F113"/>
      <c r="G113"/>
      <c r="H113" s="128"/>
    </row>
    <row r="114" spans="1:9" x14ac:dyDescent="0.25">
      <c r="A114" s="274" t="s">
        <v>90</v>
      </c>
      <c r="B114" s="274"/>
      <c r="C114" s="274"/>
      <c r="D114" s="274"/>
      <c r="E114" s="274"/>
      <c r="F114" s="274"/>
      <c r="G114" s="274"/>
      <c r="H114" s="274"/>
    </row>
    <row r="115" spans="1:9" ht="33" customHeight="1" outlineLevel="1" x14ac:dyDescent="0.25">
      <c r="A115" s="294" t="s">
        <v>91</v>
      </c>
      <c r="B115" s="294"/>
      <c r="C115" s="294"/>
      <c r="D115" s="294"/>
      <c r="E115" s="294"/>
      <c r="F115" s="294"/>
      <c r="G115" s="294"/>
      <c r="H115" s="294"/>
    </row>
    <row r="116" spans="1:9" s="3" customFormat="1" ht="28.35" customHeight="1" x14ac:dyDescent="0.25">
      <c r="A116" s="131" t="s">
        <v>51</v>
      </c>
      <c r="B116" s="131" t="s">
        <v>52</v>
      </c>
      <c r="C116" s="131" t="s">
        <v>53</v>
      </c>
      <c r="D116" s="131" t="s">
        <v>54</v>
      </c>
      <c r="E116" s="131" t="s">
        <v>55</v>
      </c>
      <c r="F116" s="131" t="s">
        <v>56</v>
      </c>
      <c r="G116" s="131" t="s">
        <v>57</v>
      </c>
      <c r="H116" s="132" t="s">
        <v>20</v>
      </c>
    </row>
    <row r="117" spans="1:9" x14ac:dyDescent="0.25">
      <c r="A117" s="75"/>
      <c r="B117" s="75"/>
      <c r="C117" s="77"/>
      <c r="D117" s="78"/>
      <c r="E117" s="79"/>
      <c r="F117" s="79"/>
      <c r="G117" s="53" t="e" cm="1">
        <f t="array" ref="G117">_xlfn.IFS(Other1117075808590951001051101151201271321371421471521571625510025303540455055[[#This Row],[Unit]]="Program-wide",((_xlfn.IFS(Other1117075808590951001051101151201271321371421471521571625510025303540455055[[#This Row],[Frequency]]="Per Year",Other1117075808590951001051101151201271321371421471521571625510025303540455055[[#This Row],[Cost]]/12,Other1117075808590951001051101151201271321371421471521571625510025303540455055[[#This Row],[Frequency]]="Per month",Other1117075808590951001051101151201271321371421471521571625510025303540455055[[#This Row],[Cost]],Other1117075808590951001051101151201271321371421471521571625510025303540455055[[#This Row],[Frequency]]="Per day",Other1117075808590951001051101151201271321371421471521571625510025303540455055[[#This Row],[Cost]]*30,Other1117075808590951001051101151201271321371421471521571625510025303540455055[[#This Row],[Frequency]]="One-time",Other1117075808590951001051101151201271321371421471521571625510025303540455055[[#This Row],[Cost]]/SUM($C$18,$C$19)))/$C$17),Other1117075808590951001051101151201271321371421471521571625510025303540455055[[#This Row],[Unit]]="Per unit/space/household",(_xlfn.IFS(Other1117075808590951001051101151201271321371421471521571625510025303540455055[[#This Row],[Frequency]]="Per Year",Other1117075808590951001051101151201271321371421471521571625510025303540455055[[#This Row],[Cost]]/12,Other1117075808590951001051101151201271321371421471521571625510025303540455055[[#This Row],[Frequency]]="Per month",Other1117075808590951001051101151201271321371421471521571625510025303540455055[[#This Row],[Cost]],Other1117075808590951001051101151201271321371421471521571625510025303540455055[[#This Row],[Frequency]]="Per day",Other1117075808590951001051101151201271321371421471521571625510025303540455055[[#This Row],[Cost]]*30,Other1117075808590951001051101151201271321371421471521571625510025303540455055[[#This Row],[Frequency]]="One-time",Other1117075808590951001051101151201271321371421471521571625510025303540455055[[#This Row],[Cost]]/SUM($C$18,$C$19))))</f>
        <v>#N/A</v>
      </c>
      <c r="H117" s="46" t="e">
        <f>Other1117075808590951001051101151201271321371421471521571625510025303540455055[[#This Row],[Monthly Cost Per Unit]]*12</f>
        <v>#N/A</v>
      </c>
    </row>
    <row r="118" spans="1:9" x14ac:dyDescent="0.25">
      <c r="A118" s="75"/>
      <c r="B118" s="75"/>
      <c r="C118" s="77"/>
      <c r="D118" s="78"/>
      <c r="E118" s="79"/>
      <c r="F118" s="79"/>
      <c r="G118" s="53" t="e" cm="1">
        <f t="array" ref="G118">_xlfn.IFS(Other1117075808590951001051101151201271321371421471521571625510025303540455055[[#This Row],[Unit]]="Program-wide",((_xlfn.IFS(Other1117075808590951001051101151201271321371421471521571625510025303540455055[[#This Row],[Frequency]]="Per Year",Other1117075808590951001051101151201271321371421471521571625510025303540455055[[#This Row],[Cost]]/12,Other1117075808590951001051101151201271321371421471521571625510025303540455055[[#This Row],[Frequency]]="Per month",Other1117075808590951001051101151201271321371421471521571625510025303540455055[[#This Row],[Cost]],Other1117075808590951001051101151201271321371421471521571625510025303540455055[[#This Row],[Frequency]]="Per day",Other1117075808590951001051101151201271321371421471521571625510025303540455055[[#This Row],[Cost]]*30,Other1117075808590951001051101151201271321371421471521571625510025303540455055[[#This Row],[Frequency]]="One-time",Other1117075808590951001051101151201271321371421471521571625510025303540455055[[#This Row],[Cost]]/SUM($C$18,$C$19)))/$C$17),Other1117075808590951001051101151201271321371421471521571625510025303540455055[[#This Row],[Unit]]="Per unit/space/household",(_xlfn.IFS(Other1117075808590951001051101151201271321371421471521571625510025303540455055[[#This Row],[Frequency]]="Per Year",Other1117075808590951001051101151201271321371421471521571625510025303540455055[[#This Row],[Cost]]/12,Other1117075808590951001051101151201271321371421471521571625510025303540455055[[#This Row],[Frequency]]="Per month",Other1117075808590951001051101151201271321371421471521571625510025303540455055[[#This Row],[Cost]],Other1117075808590951001051101151201271321371421471521571625510025303540455055[[#This Row],[Frequency]]="Per day",Other1117075808590951001051101151201271321371421471521571625510025303540455055[[#This Row],[Cost]]*30,Other1117075808590951001051101151201271321371421471521571625510025303540455055[[#This Row],[Frequency]]="One-time",Other1117075808590951001051101151201271321371421471521571625510025303540455055[[#This Row],[Cost]]/SUM($C$18,$C$19))))</f>
        <v>#N/A</v>
      </c>
      <c r="H118" s="46" t="e">
        <f>Other1117075808590951001051101151201271321371421471521571625510025303540455055[[#This Row],[Monthly Cost Per Unit]]*12</f>
        <v>#N/A</v>
      </c>
    </row>
    <row r="119" spans="1:9" x14ac:dyDescent="0.25">
      <c r="A119" s="75"/>
      <c r="B119" s="75"/>
      <c r="C119" s="77"/>
      <c r="D119" s="78"/>
      <c r="E119" s="79"/>
      <c r="F119" s="79"/>
      <c r="G119" s="53" t="e" cm="1">
        <f t="array" ref="G119">_xlfn.IFS(Other1117075808590951001051101151201271321371421471521571625510025303540455055[[#This Row],[Unit]]="Program-wide",((_xlfn.IFS(Other1117075808590951001051101151201271321371421471521571625510025303540455055[[#This Row],[Frequency]]="Per Year",Other1117075808590951001051101151201271321371421471521571625510025303540455055[[#This Row],[Cost]]/12,Other1117075808590951001051101151201271321371421471521571625510025303540455055[[#This Row],[Frequency]]="Per month",Other1117075808590951001051101151201271321371421471521571625510025303540455055[[#This Row],[Cost]],Other1117075808590951001051101151201271321371421471521571625510025303540455055[[#This Row],[Frequency]]="Per day",Other1117075808590951001051101151201271321371421471521571625510025303540455055[[#This Row],[Cost]]*30,Other1117075808590951001051101151201271321371421471521571625510025303540455055[[#This Row],[Frequency]]="One-time",Other1117075808590951001051101151201271321371421471521571625510025303540455055[[#This Row],[Cost]]/SUM($C$18,$C$19)))/$C$17),Other1117075808590951001051101151201271321371421471521571625510025303540455055[[#This Row],[Unit]]="Per unit/space/household",(_xlfn.IFS(Other1117075808590951001051101151201271321371421471521571625510025303540455055[[#This Row],[Frequency]]="Per Year",Other1117075808590951001051101151201271321371421471521571625510025303540455055[[#This Row],[Cost]]/12,Other1117075808590951001051101151201271321371421471521571625510025303540455055[[#This Row],[Frequency]]="Per month",Other1117075808590951001051101151201271321371421471521571625510025303540455055[[#This Row],[Cost]],Other1117075808590951001051101151201271321371421471521571625510025303540455055[[#This Row],[Frequency]]="Per day",Other1117075808590951001051101151201271321371421471521571625510025303540455055[[#This Row],[Cost]]*30,Other1117075808590951001051101151201271321371421471521571625510025303540455055[[#This Row],[Frequency]]="One-time",Other1117075808590951001051101151201271321371421471521571625510025303540455055[[#This Row],[Cost]]/SUM($C$18,$C$19))))</f>
        <v>#N/A</v>
      </c>
      <c r="H119" s="46" t="e">
        <f>Other1117075808590951001051101151201271321371421471521571625510025303540455055[[#This Row],[Monthly Cost Per Unit]]*12</f>
        <v>#N/A</v>
      </c>
    </row>
    <row r="120" spans="1:9" x14ac:dyDescent="0.25">
      <c r="A120" s="75"/>
      <c r="B120" s="75"/>
      <c r="C120" s="77"/>
      <c r="D120" s="78"/>
      <c r="E120" s="79"/>
      <c r="F120" s="79"/>
      <c r="G120" s="53" t="e" cm="1">
        <f t="array" ref="G120">_xlfn.IFS(Other1117075808590951001051101151201271321371421471521571625510025303540455055[[#This Row],[Unit]]="Program-wide",((_xlfn.IFS(Other1117075808590951001051101151201271321371421471521571625510025303540455055[[#This Row],[Frequency]]="Per Year",Other1117075808590951001051101151201271321371421471521571625510025303540455055[[#This Row],[Cost]]/12,Other1117075808590951001051101151201271321371421471521571625510025303540455055[[#This Row],[Frequency]]="Per month",Other1117075808590951001051101151201271321371421471521571625510025303540455055[[#This Row],[Cost]],Other1117075808590951001051101151201271321371421471521571625510025303540455055[[#This Row],[Frequency]]="Per day",Other1117075808590951001051101151201271321371421471521571625510025303540455055[[#This Row],[Cost]]*30,Other1117075808590951001051101151201271321371421471521571625510025303540455055[[#This Row],[Frequency]]="One-time",Other1117075808590951001051101151201271321371421471521571625510025303540455055[[#This Row],[Cost]]/SUM($C$18,$C$19)))/$C$17),Other1117075808590951001051101151201271321371421471521571625510025303540455055[[#This Row],[Unit]]="Per unit/space/household",(_xlfn.IFS(Other1117075808590951001051101151201271321371421471521571625510025303540455055[[#This Row],[Frequency]]="Per Year",Other1117075808590951001051101151201271321371421471521571625510025303540455055[[#This Row],[Cost]]/12,Other1117075808590951001051101151201271321371421471521571625510025303540455055[[#This Row],[Frequency]]="Per month",Other1117075808590951001051101151201271321371421471521571625510025303540455055[[#This Row],[Cost]],Other1117075808590951001051101151201271321371421471521571625510025303540455055[[#This Row],[Frequency]]="Per day",Other1117075808590951001051101151201271321371421471521571625510025303540455055[[#This Row],[Cost]]*30,Other1117075808590951001051101151201271321371421471521571625510025303540455055[[#This Row],[Frequency]]="One-time",Other1117075808590951001051101151201271321371421471521571625510025303540455055[[#This Row],[Cost]]/SUM($C$18,$C$19))))</f>
        <v>#N/A</v>
      </c>
      <c r="H120" s="46" t="e">
        <f>Other1117075808590951001051101151201271321371421471521571625510025303540455055[[#This Row],[Monthly Cost Per Unit]]*12</f>
        <v>#N/A</v>
      </c>
    </row>
    <row r="121" spans="1:9" s="1" customFormat="1" x14ac:dyDescent="0.25">
      <c r="A121" s="80"/>
      <c r="B121" s="80"/>
      <c r="C121" s="82"/>
      <c r="D121" s="83"/>
      <c r="E121" s="84"/>
      <c r="F121" s="84"/>
      <c r="G121" s="55" t="e" cm="1">
        <f t="array" ref="G121">_xlfn.IFS(Other1117075808590951001051101151201271321371421471521571625510025303540455055[[#This Row],[Unit]]="Program-wide",((_xlfn.IFS(Other1117075808590951001051101151201271321371421471521571625510025303540455055[[#This Row],[Frequency]]="Per Year",Other1117075808590951001051101151201271321371421471521571625510025303540455055[[#This Row],[Cost]]/12,Other1117075808590951001051101151201271321371421471521571625510025303540455055[[#This Row],[Frequency]]="Per month",Other1117075808590951001051101151201271321371421471521571625510025303540455055[[#This Row],[Cost]],Other1117075808590951001051101151201271321371421471521571625510025303540455055[[#This Row],[Frequency]]="Per day",Other1117075808590951001051101151201271321371421471521571625510025303540455055[[#This Row],[Cost]]*30,Other1117075808590951001051101151201271321371421471521571625510025303540455055[[#This Row],[Frequency]]="One-time",Other1117075808590951001051101151201271321371421471521571625510025303540455055[[#This Row],[Cost]]/SUM($C$18,$C$19)))/$C$17),Other1117075808590951001051101151201271321371421471521571625510025303540455055[[#This Row],[Unit]]="Per unit/space/household",(_xlfn.IFS(Other1117075808590951001051101151201271321371421471521571625510025303540455055[[#This Row],[Frequency]]="Per Year",Other1117075808590951001051101151201271321371421471521571625510025303540455055[[#This Row],[Cost]]/12,Other1117075808590951001051101151201271321371421471521571625510025303540455055[[#This Row],[Frequency]]="Per month",Other1117075808590951001051101151201271321371421471521571625510025303540455055[[#This Row],[Cost]],Other1117075808590951001051101151201271321371421471521571625510025303540455055[[#This Row],[Frequency]]="Per day",Other1117075808590951001051101151201271321371421471521571625510025303540455055[[#This Row],[Cost]]*30,Other1117075808590951001051101151201271321371421471521571625510025303540455055[[#This Row],[Frequency]]="One-time",Other1117075808590951001051101151201271321371421471521571625510025303540455055[[#This Row],[Cost]]/SUM($C$18,$C$19))))</f>
        <v>#N/A</v>
      </c>
      <c r="H121" s="46" t="e">
        <f>Other1117075808590951001051101151201271321371421471521571625510025303540455055[[#This Row],[Monthly Cost Per Unit]]*12</f>
        <v>#N/A</v>
      </c>
      <c r="I121"/>
    </row>
    <row r="122" spans="1:9" x14ac:dyDescent="0.25">
      <c r="A122" s="107" t="s">
        <v>20</v>
      </c>
      <c r="B122" s="107"/>
      <c r="C122" s="108" t="s">
        <v>68</v>
      </c>
      <c r="D122" s="109"/>
      <c r="E122" s="108"/>
      <c r="F122" s="108"/>
      <c r="G122" s="118"/>
      <c r="H122" s="111">
        <f>(SUMIF(Other1117075808590951001051101151201271321371421471521571625510025303540455055[Duration],"While homeless only",Other1117075808590951001051101151201271321371421471521571625510025303540455055[Monthly Cost Per Unit]))*12</f>
        <v>0</v>
      </c>
    </row>
    <row r="123" spans="1:9" x14ac:dyDescent="0.25">
      <c r="A123" s="112"/>
      <c r="B123" s="112"/>
      <c r="C123" s="108" t="s">
        <v>63</v>
      </c>
      <c r="D123" s="109"/>
      <c r="E123" s="108"/>
      <c r="F123" s="108"/>
      <c r="G123" s="111"/>
      <c r="H123" s="111">
        <f>(SUMIF(Other1117075808590951001051101151201271321371421471521571625510025303540455055[Duration],"While housed only",Other1117075808590951001051101151201271321371421471521571625510025303540455055[Monthly Cost Per Unit]))*12</f>
        <v>0</v>
      </c>
    </row>
    <row r="124" spans="1:9" x14ac:dyDescent="0.25">
      <c r="A124" s="112"/>
      <c r="B124" s="112"/>
      <c r="C124" s="108" t="s">
        <v>58</v>
      </c>
      <c r="D124" s="109"/>
      <c r="E124" s="108"/>
      <c r="F124" s="108"/>
      <c r="G124" s="111"/>
      <c r="H124" s="111">
        <f>(SUMIF(Other1117075808590951001051101151201271321371421471521571625510025303540455055[Duration],"Homeless &amp; housed",Other1117075808590951001051101151201271321371421471521571625510025303540455055[Monthly Cost Per Unit]))*12</f>
        <v>0</v>
      </c>
    </row>
    <row r="125" spans="1:9" ht="15.75" thickBot="1" x14ac:dyDescent="0.3">
      <c r="A125" s="113"/>
      <c r="B125" s="113"/>
      <c r="C125" s="114" t="s">
        <v>207</v>
      </c>
      <c r="D125" s="115"/>
      <c r="E125" s="114"/>
      <c r="F125" s="114"/>
      <c r="G125" s="117"/>
      <c r="H125" s="117">
        <f>(SUMIF(Other1117075808590951001051101151201271321371421471521571625510025303540455055[Duration],"N/A",Other1117075808590951001051101151201271321371421471521571625510025303540455055[Monthly Cost Per Unit]))*12</f>
        <v>0</v>
      </c>
    </row>
    <row r="126" spans="1:9" ht="16.5" thickTop="1" thickBot="1" x14ac:dyDescent="0.3">
      <c r="A126" s="113"/>
      <c r="B126" s="113"/>
      <c r="C126" s="114" t="s">
        <v>42</v>
      </c>
      <c r="D126" s="115"/>
      <c r="E126" s="114"/>
      <c r="F126" s="114"/>
      <c r="G126" s="117"/>
      <c r="H126" s="117">
        <f>SUM(H122:H125)</f>
        <v>0</v>
      </c>
    </row>
    <row r="127" spans="1:9" ht="15.75" thickTop="1" x14ac:dyDescent="0.25"/>
    <row r="128" spans="1:9" x14ac:dyDescent="0.25">
      <c r="A128" s="269" t="s">
        <v>92</v>
      </c>
      <c r="B128" s="269"/>
      <c r="C128" s="269"/>
      <c r="D128" s="269"/>
      <c r="E128" s="269"/>
      <c r="F128" s="269"/>
      <c r="G128" s="269"/>
      <c r="H128" s="269"/>
    </row>
    <row r="129" spans="1:8" x14ac:dyDescent="0.25">
      <c r="A129" s="304" t="s">
        <v>20</v>
      </c>
      <c r="B129" s="147"/>
      <c r="C129" s="108" t="s">
        <v>68</v>
      </c>
      <c r="D129" s="109"/>
      <c r="E129" s="108"/>
      <c r="F129" s="108"/>
      <c r="G129" s="118"/>
      <c r="H129" s="111">
        <f>SUM(H32,H53,H86, H108,H122)</f>
        <v>0</v>
      </c>
    </row>
    <row r="130" spans="1:8" x14ac:dyDescent="0.25">
      <c r="A130" s="305"/>
      <c r="B130" s="148"/>
      <c r="C130" s="108" t="s">
        <v>63</v>
      </c>
      <c r="D130" s="109"/>
      <c r="E130" s="108"/>
      <c r="F130" s="108"/>
      <c r="G130" s="111"/>
      <c r="H130" s="111">
        <f>SUM(H33,H54,H87, H109,H123)</f>
        <v>0</v>
      </c>
    </row>
    <row r="131" spans="1:8" x14ac:dyDescent="0.25">
      <c r="A131" s="305"/>
      <c r="B131" s="148"/>
      <c r="C131" s="108" t="s">
        <v>58</v>
      </c>
      <c r="D131" s="109"/>
      <c r="E131" s="108"/>
      <c r="F131" s="108"/>
      <c r="G131" s="111"/>
      <c r="H131" s="111">
        <f>SUM(H34,H55,H88, H110,H124)</f>
        <v>0</v>
      </c>
    </row>
    <row r="132" spans="1:8" ht="15.75" thickBot="1" x14ac:dyDescent="0.3">
      <c r="A132" s="305"/>
      <c r="B132" s="148"/>
      <c r="C132" s="114" t="s">
        <v>207</v>
      </c>
      <c r="D132" s="115"/>
      <c r="E132" s="114"/>
      <c r="F132" s="114"/>
      <c r="G132" s="117"/>
      <c r="H132" s="149">
        <f>SUM(H35,H56,H89, H111,H125)</f>
        <v>0</v>
      </c>
    </row>
    <row r="133" spans="1:8" ht="16.5" thickTop="1" thickBot="1" x14ac:dyDescent="0.3">
      <c r="A133" s="306"/>
      <c r="B133" s="150"/>
      <c r="C133" s="130" t="s">
        <v>42</v>
      </c>
      <c r="D133" s="130"/>
      <c r="E133" s="130"/>
      <c r="F133" s="130"/>
      <c r="G133" s="151"/>
      <c r="H133" s="117">
        <f>SUM(H36,H57,H90, H112,H126)</f>
        <v>0</v>
      </c>
    </row>
    <row r="134" spans="1:8" ht="15.75" thickTop="1" x14ac:dyDescent="0.25"/>
  </sheetData>
  <sheetProtection sheet="1" formatCells="0" formatColumns="0" formatRows="0" insertRows="0"/>
  <mergeCells count="41">
    <mergeCell ref="A128:H128"/>
    <mergeCell ref="A129:A133"/>
    <mergeCell ref="A25:H25"/>
    <mergeCell ref="A38:H38"/>
    <mergeCell ref="A39:H39"/>
    <mergeCell ref="A59:H59"/>
    <mergeCell ref="A60:H60"/>
    <mergeCell ref="A61:F61"/>
    <mergeCell ref="A62:F62"/>
    <mergeCell ref="A74:F74"/>
    <mergeCell ref="G74:H74"/>
    <mergeCell ref="A75:H75"/>
    <mergeCell ref="A92:H92"/>
    <mergeCell ref="A93:H93"/>
    <mergeCell ref="A114:H114"/>
    <mergeCell ref="A115:H115"/>
    <mergeCell ref="C19:D19"/>
    <mergeCell ref="A16:D16"/>
    <mergeCell ref="A15:D15"/>
    <mergeCell ref="A10:B10"/>
    <mergeCell ref="C10:D10"/>
    <mergeCell ref="A11:B11"/>
    <mergeCell ref="C11:D11"/>
    <mergeCell ref="A12:B12"/>
    <mergeCell ref="C12:D12"/>
    <mergeCell ref="A22:H22"/>
    <mergeCell ref="A24:H24"/>
    <mergeCell ref="A2:H2"/>
    <mergeCell ref="A7:D7"/>
    <mergeCell ref="A9:D9"/>
    <mergeCell ref="F9:G9"/>
    <mergeCell ref="A13:B13"/>
    <mergeCell ref="C13:D13"/>
    <mergeCell ref="A4:D4"/>
    <mergeCell ref="A5:B5"/>
    <mergeCell ref="C5:D5"/>
    <mergeCell ref="A17:B17"/>
    <mergeCell ref="C17:D17"/>
    <mergeCell ref="A18:B18"/>
    <mergeCell ref="C18:D18"/>
    <mergeCell ref="A19:B19"/>
  </mergeCells>
  <dataValidations count="12">
    <dataValidation type="custom" allowBlank="1" showInputMessage="1" showErrorMessage="1" prompt="This would be the amount of time a client is enrolled in the program before they have a housing move-in date in HMIS." sqref="C18:D18" xr:uid="{1B83177D-3D60-4080-B05E-804F10467301}">
      <formula1>ISNUMBER(VALUE(C18))</formula1>
    </dataValidation>
    <dataValidation type="custom" allowBlank="1" showInputMessage="1" showErrorMessage="1" prompt="This would be the amount of time a client is enrolled in the program after they have a housing move-in date in HMIS." sqref="C19:D19" xr:uid="{E25C0C57-A173-41D4-9411-555C9315C9BE}">
      <formula1>ISNUMBER(VALUE(C19))</formula1>
    </dataValidation>
    <dataValidation allowBlank="1" showInputMessage="1" showErrorMessage="1" prompt="This would be the amount of time a client is enrolled in the program before they have a housing move-in date in HMIS." sqref="A18:B18" xr:uid="{1BD725B1-5BDC-465C-93B8-6D4D6F738E40}"/>
    <dataValidation allowBlank="1" showInputMessage="1" showErrorMessage="1" prompt="This would be the amount of time a client is enrolled in the program after they have a housing move-in date in HMIS." sqref="A19:B20 D20" xr:uid="{5E1E8506-E991-4921-9C5C-D4EC5CAABD6A}"/>
    <dataValidation allowBlank="1" showInputMessage="1" showErrorMessage="1" prompt="This column is auto-calculated based on the average rental cost and average utility cost per unit information." sqref="F63:F72" xr:uid="{D6D51B07-8EBA-45B2-8BB6-059061CAE030}"/>
    <dataValidation allowBlank="1" showInputMessage="1" showErrorMessage="1" prompt="This field required a selection from a drop-down menu. To find this menu, click on the cell and click the down arrow on the right-hand of the cell. " sqref="C26 C40 C76 C94 C116" xr:uid="{1BAF59A0-8419-42FC-AF0E-DB07EAE4544B}"/>
    <dataValidation allowBlank="1" showInputMessage="1" showErrorMessage="1" prompt="This field required a selection from a drop-down menu. To find this menu, click on the cell and click the down arrow on the right-hand of the cell." sqref="E26:F26 E40:F40 E76:F76 E94:F94 E116:F116" xr:uid="{2C914A54-5220-460A-B3A4-768EC39F61C8}"/>
    <dataValidation allowBlank="1" showInputMessage="1" showErrorMessage="1" prompt="_x000a_" sqref="G13" xr:uid="{239ACEC3-9059-4063-AAFF-8126EDB193E4}"/>
    <dataValidation type="custom" allowBlank="1" showInputMessage="1" showErrorMessage="1" sqref="D27:D31 D41:D52 D77:D85 D95:D107 D117:D121 B64:E71" xr:uid="{38171773-4204-4CFC-B43E-594698329A9D}">
      <formula1>ISNUMBER(VALUE(B27))</formula1>
    </dataValidation>
    <dataValidation allowBlank="1" showErrorMessage="1" sqref="C20 F14:G14" xr:uid="{F49BA88B-5A7E-4648-BE05-F9C1CBAEAAF3}"/>
    <dataValidation type="custom" allowBlank="1" showInputMessage="1" showErrorMessage="1" prompt="Project capacity is the number of units available at a point in time. Depending on the project type, a unit may represent a rental subsidy, a room or bed in a congregate setting, a motel room, a supportive services slot, etc." sqref="C17:D17" xr:uid="{B4F33E01-099B-4685-A26D-BD024B2279F4}">
      <formula1>ISNUMBER(VALUE(C17))</formula1>
    </dataValidation>
    <dataValidation allowBlank="1" showInputMessage="1" showErrorMessage="1" prompt="Project capacity is the number of units available at a point in time. Depending on the project type, a unit may represent a rental subsidy, a room or bed in a congregate setting, a motel room, a supportive services slot, etc." sqref="A17:B17" xr:uid="{45D9C294-B49F-408B-A14B-DDD1AAAC8745}"/>
  </dataValidations>
  <pageMargins left="0.7" right="0.7" top="0.75" bottom="0.75" header="0.3" footer="0.3"/>
  <pageSetup orientation="portrait" horizontalDpi="90" verticalDpi="90" r:id="rId1"/>
  <tableParts count="5">
    <tablePart r:id="rId2"/>
    <tablePart r:id="rId3"/>
    <tablePart r:id="rId4"/>
    <tablePart r:id="rId5"/>
    <tablePart r:id="rId6"/>
  </tableParts>
  <extLst>
    <ext xmlns:x14="http://schemas.microsoft.com/office/spreadsheetml/2009/9/main" uri="{CCE6A557-97BC-4b89-ADB6-D9C93CAAB3DF}">
      <x14:dataValidations xmlns:xm="http://schemas.microsoft.com/office/excel/2006/main" count="9">
        <x14:dataValidation type="list" allowBlank="1" showInputMessage="1" showErrorMessage="1" prompt="This field required a selection from a drop-down menu. To find this menu, click on the cell and click the down arrow on the right-hand of the cell. " xr:uid="{E3EB4524-D5F0-486E-97D5-DE86C7BB70B4}">
          <x14:formula1>
            <xm:f>Allowable!$E$2:$E$4</xm:f>
          </x14:formula1>
          <xm:sqref>C117:C121 C95:C107 C77:C85</xm:sqref>
        </x14:dataValidation>
        <x14:dataValidation type="list" allowBlank="1" showInputMessage="1" showErrorMessage="1" xr:uid="{B5CC8B60-EEC6-472C-AECF-D82DDD2E7E14}">
          <x14:formula1>
            <xm:f>Allowable!$B$2:$B$3</xm:f>
          </x14:formula1>
          <xm:sqref>F58</xm:sqref>
        </x14:dataValidation>
        <x14:dataValidation type="list" allowBlank="1" showInputMessage="1" showErrorMessage="1" xr:uid="{ADFE7191-F502-44F1-9CDA-BEACADA7D3C1}">
          <x14:formula1>
            <xm:f>Allowable!$A$2:$A$5</xm:f>
          </x14:formula1>
          <xm:sqref>E58</xm:sqref>
        </x14:dataValidation>
        <x14:dataValidation type="list" allowBlank="1" showInputMessage="1" showErrorMessage="1" prompt="This field required a selection from a drop-down menu. To find this menu, click on the cell and click the down arrow on the right-hand of the cell." xr:uid="{69983523-9613-4728-9ED4-DD8D2EA0B6AC}">
          <x14:formula1>
            <xm:f>Allowable!$A$2:$A$5</xm:f>
          </x14:formula1>
          <xm:sqref>E27:E31 E41:E52</xm:sqref>
        </x14:dataValidation>
        <x14:dataValidation type="list" allowBlank="1" showInputMessage="1" showErrorMessage="1" prompt="This field required a selection from a drop-down menu. To find this menu, click on the cell and click the down arrow on the right-hand of the cell. " xr:uid="{58821DDD-53FC-465D-8851-40673956165F}">
          <x14:formula1>
            <xm:f>Allowable!$A$2:$A$5</xm:f>
          </x14:formula1>
          <xm:sqref>E41:E52 E77:E85 E95:E107 E117:E121</xm:sqref>
        </x14:dataValidation>
        <x14:dataValidation type="list" allowBlank="1" showInputMessage="1" showErrorMessage="1" prompt="This field required a selection from a drop-down menu. To find this menu, click on the cell and click the down arrow on the right-hand of the cell. " xr:uid="{AAD9CAF5-D0EE-4486-A9B5-82B0EC28B532}">
          <x14:formula1>
            <xm:f>Allowable!$B$2:$B$3</xm:f>
          </x14:formula1>
          <xm:sqref>F41:F52 F77:F85 F95:F107 F117:F121</xm:sqref>
        </x14:dataValidation>
        <x14:dataValidation type="list" allowBlank="1" showInputMessage="1" showErrorMessage="1" prompt="This field required a selection from a drop-down menu. To find this menu, click on the cell and click the down arrow on the right-hand of the cell." xr:uid="{DBBBCF45-CEF5-4585-92A1-4C503A8747BA}">
          <x14:formula1>
            <xm:f>Allowable!$B$2:$B$3</xm:f>
          </x14:formula1>
          <xm:sqref>F27:F31</xm:sqref>
        </x14:dataValidation>
        <x14:dataValidation type="list" allowBlank="1" showInputMessage="1" showErrorMessage="1" xr:uid="{CD0F87B4-A6C4-4D50-8905-2B4AF2E7F2DA}">
          <x14:formula1>
            <xm:f>Allowable!$D$2:$D$13</xm:f>
          </x14:formula1>
          <xm:sqref>C11:D11</xm:sqref>
        </x14:dataValidation>
        <x14:dataValidation type="list" allowBlank="1" showInputMessage="1" showErrorMessage="1" prompt="This field required a selection from a drop-down menu. To find this menu, click on the cell and click the down arrow on the right-hand of the cell. " xr:uid="{30BFA2D2-50B6-4802-BDDA-B86D2C077C2D}">
          <x14:formula1>
            <xm:f>Allowable!$E$2:$E$5</xm:f>
          </x14:formula1>
          <xm:sqref>C27:C31 C41:C52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931A6-2C31-479F-8FB8-811A0E00B469}">
  <sheetPr>
    <tabColor theme="8" tint="0.79998168889431442"/>
  </sheetPr>
  <dimension ref="A2:I134"/>
  <sheetViews>
    <sheetView showGridLines="0" zoomScaleNormal="100" workbookViewId="0">
      <selection activeCell="F9" sqref="F9:G9"/>
    </sheetView>
  </sheetViews>
  <sheetFormatPr defaultColWidth="8.7109375" defaultRowHeight="15" outlineLevelRow="1" x14ac:dyDescent="0.25"/>
  <cols>
    <col min="1" max="1" width="27.140625" style="3" customWidth="1"/>
    <col min="2" max="2" width="21.140625" customWidth="1"/>
    <col min="3" max="3" width="18.5703125" customWidth="1"/>
    <col min="4" max="5" width="14.42578125" customWidth="1"/>
    <col min="6" max="6" width="22.85546875" style="128" customWidth="1"/>
    <col min="7" max="7" width="13.5703125" style="128" customWidth="1"/>
    <col min="8" max="8" width="13.140625" customWidth="1"/>
    <col min="9" max="9" width="10.5703125" customWidth="1"/>
    <col min="10" max="10" width="10.42578125" customWidth="1"/>
    <col min="11" max="11" width="22.5703125" customWidth="1"/>
    <col min="12" max="12" width="14.85546875" customWidth="1"/>
  </cols>
  <sheetData>
    <row r="2" spans="1:8" ht="26.25" x14ac:dyDescent="0.4">
      <c r="A2" s="288" t="str">
        <f>CONCATENATE("Comparable Projects for ", 'Model Project Type'!D10, " Cost Assumptions")</f>
        <v>Comparable Projects for  Cost Assumptions</v>
      </c>
      <c r="B2" s="288"/>
      <c r="C2" s="288"/>
      <c r="D2" s="288"/>
      <c r="E2" s="288"/>
      <c r="F2" s="288"/>
      <c r="G2" s="288"/>
      <c r="H2" s="288"/>
    </row>
    <row r="3" spans="1:8" ht="19.5" customHeight="1" x14ac:dyDescent="0.25"/>
    <row r="4" spans="1:8" ht="26.1" customHeight="1" x14ac:dyDescent="0.4">
      <c r="A4" s="273" t="s">
        <v>1</v>
      </c>
      <c r="B4" s="273"/>
      <c r="C4" s="273"/>
      <c r="D4" s="273"/>
    </row>
    <row r="5" spans="1:8" ht="30.6" customHeight="1" x14ac:dyDescent="0.25">
      <c r="A5" s="292" t="s">
        <v>109</v>
      </c>
      <c r="B5" s="292"/>
      <c r="C5" s="293" t="str">
        <f>IF('Model Project Type'!D10 = 0, " ", 'Model Project Type'!D10)</f>
        <v xml:space="preserve"> </v>
      </c>
      <c r="D5" s="293"/>
    </row>
    <row r="6" spans="1:8" ht="20.100000000000001" customHeight="1" x14ac:dyDescent="0.25">
      <c r="A6"/>
      <c r="F6"/>
      <c r="G6"/>
    </row>
    <row r="7" spans="1:8" ht="26.1" customHeight="1" x14ac:dyDescent="0.4">
      <c r="A7" s="273" t="s">
        <v>35</v>
      </c>
      <c r="B7" s="273"/>
      <c r="C7" s="273"/>
      <c r="D7" s="273"/>
    </row>
    <row r="8" spans="1:8" ht="5.45" customHeight="1" x14ac:dyDescent="0.4">
      <c r="A8" s="36"/>
      <c r="B8" s="36"/>
      <c r="C8" s="36"/>
      <c r="D8" s="36"/>
      <c r="F8" s="129"/>
      <c r="G8" s="129"/>
    </row>
    <row r="9" spans="1:8" ht="20.100000000000001" customHeight="1" x14ac:dyDescent="0.25">
      <c r="A9" s="289" t="s">
        <v>36</v>
      </c>
      <c r="B9" s="289"/>
      <c r="C9" s="289"/>
      <c r="D9" s="289"/>
      <c r="F9" s="308" t="s">
        <v>37</v>
      </c>
      <c r="G9" s="308"/>
    </row>
    <row r="10" spans="1:8" ht="19.7" customHeight="1" x14ac:dyDescent="0.25">
      <c r="A10" s="290" t="s">
        <v>38</v>
      </c>
      <c r="B10" s="290"/>
      <c r="C10" s="311"/>
      <c r="D10" s="311"/>
      <c r="F10" s="108" t="s">
        <v>68</v>
      </c>
      <c r="G10" s="111">
        <f>H129</f>
        <v>0</v>
      </c>
    </row>
    <row r="11" spans="1:8" ht="19.7" customHeight="1" x14ac:dyDescent="0.25">
      <c r="A11" s="286" t="s">
        <v>39</v>
      </c>
      <c r="B11" s="286"/>
      <c r="C11" s="310"/>
      <c r="D11" s="310"/>
      <c r="F11" s="108" t="s">
        <v>63</v>
      </c>
      <c r="G11" s="111">
        <f>H130</f>
        <v>0</v>
      </c>
    </row>
    <row r="12" spans="1:8" ht="19.7" customHeight="1" x14ac:dyDescent="0.25">
      <c r="A12" s="287" t="s">
        <v>40</v>
      </c>
      <c r="B12" s="287"/>
      <c r="C12" s="307"/>
      <c r="D12" s="307"/>
      <c r="F12" s="108" t="s">
        <v>58</v>
      </c>
      <c r="G12" s="111">
        <f>H131</f>
        <v>0</v>
      </c>
    </row>
    <row r="13" spans="1:8" ht="19.7" customHeight="1" thickBot="1" x14ac:dyDescent="0.3">
      <c r="A13" s="286" t="s">
        <v>41</v>
      </c>
      <c r="B13" s="286"/>
      <c r="C13" s="307"/>
      <c r="D13" s="307"/>
      <c r="F13" s="114" t="s">
        <v>207</v>
      </c>
      <c r="G13" s="117">
        <f>H132</f>
        <v>0</v>
      </c>
    </row>
    <row r="14" spans="1:8" ht="19.7" customHeight="1" thickTop="1" thickBot="1" x14ac:dyDescent="0.3">
      <c r="A14" s="7"/>
      <c r="B14" s="40"/>
      <c r="C14" s="35"/>
      <c r="D14" s="34"/>
      <c r="F14" s="130" t="s">
        <v>42</v>
      </c>
      <c r="G14" s="117">
        <f>H133</f>
        <v>0</v>
      </c>
    </row>
    <row r="15" spans="1:8" ht="19.7" customHeight="1" thickTop="1" x14ac:dyDescent="0.25">
      <c r="A15" s="280" t="s">
        <v>43</v>
      </c>
      <c r="B15" s="280"/>
      <c r="C15" s="280"/>
      <c r="D15" s="280"/>
    </row>
    <row r="16" spans="1:8" ht="44.45" customHeight="1" x14ac:dyDescent="0.25">
      <c r="A16" s="281" t="s">
        <v>44</v>
      </c>
      <c r="B16" s="282"/>
      <c r="C16" s="282"/>
      <c r="D16" s="282"/>
    </row>
    <row r="17" spans="1:9" ht="18.600000000000001" customHeight="1" x14ac:dyDescent="0.25">
      <c r="A17" s="283" t="s">
        <v>45</v>
      </c>
      <c r="B17" s="283"/>
      <c r="C17" s="309"/>
      <c r="D17" s="309"/>
    </row>
    <row r="18" spans="1:9" ht="44.45" customHeight="1" x14ac:dyDescent="0.25">
      <c r="A18" s="275" t="s">
        <v>46</v>
      </c>
      <c r="B18" s="275"/>
      <c r="C18" s="310"/>
      <c r="D18" s="310"/>
    </row>
    <row r="19" spans="1:9" ht="44.45" customHeight="1" x14ac:dyDescent="0.25">
      <c r="A19" s="275" t="s">
        <v>47</v>
      </c>
      <c r="B19" s="275"/>
      <c r="C19" s="307"/>
      <c r="D19" s="307"/>
    </row>
    <row r="20" spans="1:9" ht="14.1" customHeight="1" x14ac:dyDescent="0.25">
      <c r="A20" s="33"/>
      <c r="B20" s="33"/>
      <c r="C20" s="39"/>
      <c r="D20" s="35"/>
    </row>
    <row r="21" spans="1:9" ht="17.45" customHeight="1" x14ac:dyDescent="0.25">
      <c r="A21" s="4"/>
      <c r="B21" s="4"/>
      <c r="C21" s="35"/>
      <c r="D21" s="35"/>
    </row>
    <row r="22" spans="1:9" ht="21" customHeight="1" x14ac:dyDescent="0.4">
      <c r="A22" s="277" t="s">
        <v>48</v>
      </c>
      <c r="B22" s="277"/>
      <c r="C22" s="277"/>
      <c r="D22" s="277"/>
      <c r="E22" s="277"/>
      <c r="F22" s="277"/>
      <c r="G22" s="277"/>
      <c r="H22" s="277"/>
    </row>
    <row r="23" spans="1:9" ht="6.6" customHeight="1" x14ac:dyDescent="0.25">
      <c r="A23" s="32"/>
      <c r="B23" s="30"/>
      <c r="C23" s="30"/>
      <c r="D23" s="30"/>
      <c r="F23" s="129"/>
      <c r="G23" s="129"/>
    </row>
    <row r="24" spans="1:9" x14ac:dyDescent="0.25">
      <c r="A24" s="274" t="s">
        <v>49</v>
      </c>
      <c r="B24" s="274"/>
      <c r="C24" s="274"/>
      <c r="D24" s="274"/>
      <c r="E24" s="274"/>
      <c r="F24" s="274"/>
      <c r="G24" s="274"/>
      <c r="H24" s="274"/>
    </row>
    <row r="25" spans="1:9" ht="30.75" customHeight="1" outlineLevel="1" x14ac:dyDescent="0.25">
      <c r="A25" s="294" t="s">
        <v>50</v>
      </c>
      <c r="B25" s="294"/>
      <c r="C25" s="294"/>
      <c r="D25" s="294"/>
      <c r="E25" s="294"/>
      <c r="F25" s="294"/>
      <c r="G25" s="294"/>
      <c r="H25" s="294"/>
    </row>
    <row r="26" spans="1:9" s="3" customFormat="1" ht="28.35" customHeight="1" x14ac:dyDescent="0.25">
      <c r="A26" s="131" t="s">
        <v>51</v>
      </c>
      <c r="B26" s="131" t="s">
        <v>52</v>
      </c>
      <c r="C26" s="131" t="s">
        <v>53</v>
      </c>
      <c r="D26" s="131" t="s">
        <v>54</v>
      </c>
      <c r="E26" s="131" t="s">
        <v>55</v>
      </c>
      <c r="F26" s="131" t="s">
        <v>56</v>
      </c>
      <c r="G26" s="131" t="s">
        <v>57</v>
      </c>
      <c r="H26" s="132" t="s">
        <v>20</v>
      </c>
    </row>
    <row r="27" spans="1:9" x14ac:dyDescent="0.25">
      <c r="A27" s="75"/>
      <c r="B27" s="76"/>
      <c r="C27" s="77"/>
      <c r="D27" s="78"/>
      <c r="E27" s="79"/>
      <c r="F27" s="79"/>
      <c r="G27" s="53" t="e" cm="1">
        <f t="array" ref="G27">_xlfn.IFS(Administrative176671768186919610110611111612312813313814314815315851962126313641465156[[#This Row],[Unit]]="Program-wide",((_xlfn.IFS(Administrative176671768186919610110611111612312813313814314815315851962126313641465156[[#This Row],[Frequency]]="Per Year",Administrative176671768186919610110611111612312813313814314815315851962126313641465156[[#This Row],[Cost]]/12,Administrative176671768186919610110611111612312813313814314815315851962126313641465156[[#This Row],[Frequency]]="Per month",Administrative176671768186919610110611111612312813313814314815315851962126313641465156[[#This Row],[Cost]],Administrative176671768186919610110611111612312813313814314815315851962126313641465156[[#This Row],[Frequency]]="Per day",Administrative176671768186919610110611111612312813313814314815315851962126313641465156[[#This Row],[Cost]]*30,Administrative176671768186919610110611111612312813313814314815315851962126313641465156[[#This Row],[Frequency]]="One-time",Administrative176671768186919610110611111612312813313814314815315851962126313641465156[[#This Row],[Cost]]/SUM(C18,C19)))/$C$17),Administrative176671768186919610110611111612312813313814314815315851962126313641465156[[#This Row],[Unit]]="Per unit/space/household",(_xlfn.IFS(Administrative176671768186919610110611111612312813313814314815315851962126313641465156[[#This Row],[Frequency]]="Per Year",Administrative176671768186919610110611111612312813313814314815315851962126313641465156[[#This Row],[Cost]]/12,Administrative176671768186919610110611111612312813313814314815315851962126313641465156[[#This Row],[Frequency]]="Per month",Administrative176671768186919610110611111612312813313814314815315851962126313641465156[[#This Row],[Cost]],Administrative176671768186919610110611111612312813313814314815315851962126313641465156[[#This Row],[Frequency]]="Per day",Administrative176671768186919610110611111612312813313814314815315851962126313641465156[[#This Row],[Cost]]*30,Administrative176671768186919610110611111612312813313814314815315851962126313641465156[[#This Row],[Frequency]]="One-time",Administrative176671768186919610110611111612312813313814314815315851962126313641465156[[#This Row],[Cost]]/SUM($C$18,$C$19))))</f>
        <v>#N/A</v>
      </c>
      <c r="H27" s="46" t="e">
        <f>Administrative176671768186919610110611111612312813313814314815315851962126313641465156[[#This Row],[Monthly Cost Per Unit]]*12</f>
        <v>#N/A</v>
      </c>
    </row>
    <row r="28" spans="1:9" x14ac:dyDescent="0.25">
      <c r="A28" s="75"/>
      <c r="B28" s="76"/>
      <c r="C28" s="77"/>
      <c r="D28" s="78"/>
      <c r="E28" s="79"/>
      <c r="F28" s="79"/>
      <c r="G28" s="53" t="e" cm="1">
        <f t="array" ref="G28">_xlfn.IFS(Administrative176671768186919610110611111612312813313814314815315851962126313641465156[[#This Row],[Unit]]="Program-wide",((_xlfn.IFS(Administrative176671768186919610110611111612312813313814314815315851962126313641465156[[#This Row],[Frequency]]="Per Year",Administrative176671768186919610110611111612312813313814314815315851962126313641465156[[#This Row],[Cost]]/12,Administrative176671768186919610110611111612312813313814314815315851962126313641465156[[#This Row],[Frequency]]="Per month",Administrative176671768186919610110611111612312813313814314815315851962126313641465156[[#This Row],[Cost]],Administrative176671768186919610110611111612312813313814314815315851962126313641465156[[#This Row],[Frequency]]="Per day",Administrative176671768186919610110611111612312813313814314815315851962126313641465156[[#This Row],[Cost]]*30,Administrative176671768186919610110611111612312813313814314815315851962126313641465156[[#This Row],[Frequency]]="One-time",Administrative176671768186919610110611111612312813313814314815315851962126313641465156[[#This Row],[Cost]]/SUM(C18,C19)))/$C$17),Administrative176671768186919610110611111612312813313814314815315851962126313641465156[[#This Row],[Unit]]="Per unit/space/household",(_xlfn.IFS(Administrative176671768186919610110611111612312813313814314815315851962126313641465156[[#This Row],[Frequency]]="Per Year",Administrative176671768186919610110611111612312813313814314815315851962126313641465156[[#This Row],[Cost]]/12,Administrative176671768186919610110611111612312813313814314815315851962126313641465156[[#This Row],[Frequency]]="Per month",Administrative176671768186919610110611111612312813313814314815315851962126313641465156[[#This Row],[Cost]],Administrative176671768186919610110611111612312813313814314815315851962126313641465156[[#This Row],[Frequency]]="Per day",Administrative176671768186919610110611111612312813313814314815315851962126313641465156[[#This Row],[Cost]]*30,Administrative176671768186919610110611111612312813313814314815315851962126313641465156[[#This Row],[Frequency]]="One-time",Administrative176671768186919610110611111612312813313814314815315851962126313641465156[[#This Row],[Cost]]/SUM($C$18,$C$19))))</f>
        <v>#N/A</v>
      </c>
      <c r="H28" s="46" t="e">
        <f>Administrative176671768186919610110611111612312813313814314815315851962126313641465156[[#This Row],[Monthly Cost Per Unit]]*12</f>
        <v>#N/A</v>
      </c>
    </row>
    <row r="29" spans="1:9" x14ac:dyDescent="0.25">
      <c r="A29" s="75"/>
      <c r="B29" s="76"/>
      <c r="C29" s="77"/>
      <c r="D29" s="78"/>
      <c r="E29" s="79"/>
      <c r="F29" s="79"/>
      <c r="G29" s="53" t="e" cm="1">
        <f t="array" ref="G29">_xlfn.IFS(Administrative176671768186919610110611111612312813313814314815315851962126313641465156[[#This Row],[Unit]]="Program-wide",((_xlfn.IFS(Administrative176671768186919610110611111612312813313814314815315851962126313641465156[[#This Row],[Frequency]]="Per Year",Administrative176671768186919610110611111612312813313814314815315851962126313641465156[[#This Row],[Cost]]/12,Administrative176671768186919610110611111612312813313814314815315851962126313641465156[[#This Row],[Frequency]]="Per month",Administrative176671768186919610110611111612312813313814314815315851962126313641465156[[#This Row],[Cost]],Administrative176671768186919610110611111612312813313814314815315851962126313641465156[[#This Row],[Frequency]]="Per day",Administrative176671768186919610110611111612312813313814314815315851962126313641465156[[#This Row],[Cost]]*30,Administrative176671768186919610110611111612312813313814314815315851962126313641465156[[#This Row],[Frequency]]="One-time",Administrative176671768186919610110611111612312813313814314815315851962126313641465156[[#This Row],[Cost]]/SUM(C18,C19)))/$C$17),Administrative176671768186919610110611111612312813313814314815315851962126313641465156[[#This Row],[Unit]]="Per unit/space/household",(_xlfn.IFS(Administrative176671768186919610110611111612312813313814314815315851962126313641465156[[#This Row],[Frequency]]="Per Year",Administrative176671768186919610110611111612312813313814314815315851962126313641465156[[#This Row],[Cost]]/12,Administrative176671768186919610110611111612312813313814314815315851962126313641465156[[#This Row],[Frequency]]="Per month",Administrative176671768186919610110611111612312813313814314815315851962126313641465156[[#This Row],[Cost]],Administrative176671768186919610110611111612312813313814314815315851962126313641465156[[#This Row],[Frequency]]="Per day",Administrative176671768186919610110611111612312813313814314815315851962126313641465156[[#This Row],[Cost]]*30,Administrative176671768186919610110611111612312813313814314815315851962126313641465156[[#This Row],[Frequency]]="One-time",Administrative176671768186919610110611111612312813313814314815315851962126313641465156[[#This Row],[Cost]]/SUM($C$18,$C$19))))</f>
        <v>#N/A</v>
      </c>
      <c r="H29" s="46" t="e">
        <f>Administrative176671768186919610110611111612312813313814314815315851962126313641465156[[#This Row],[Monthly Cost Per Unit]]*12</f>
        <v>#N/A</v>
      </c>
    </row>
    <row r="30" spans="1:9" x14ac:dyDescent="0.25">
      <c r="A30" s="75"/>
      <c r="B30" s="76"/>
      <c r="C30" s="77"/>
      <c r="D30" s="78"/>
      <c r="E30" s="79"/>
      <c r="F30" s="79"/>
      <c r="G30" s="53" t="e" cm="1">
        <f t="array" ref="G30">_xlfn.IFS(Administrative176671768186919610110611111612312813313814314815315851962126313641465156[[#This Row],[Unit]]="Program-wide",((_xlfn.IFS(Administrative176671768186919610110611111612312813313814314815315851962126313641465156[[#This Row],[Frequency]]="Per Year",Administrative176671768186919610110611111612312813313814314815315851962126313641465156[[#This Row],[Cost]]/12,Administrative176671768186919610110611111612312813313814314815315851962126313641465156[[#This Row],[Frequency]]="Per month",Administrative176671768186919610110611111612312813313814314815315851962126313641465156[[#This Row],[Cost]],Administrative176671768186919610110611111612312813313814314815315851962126313641465156[[#This Row],[Frequency]]="Per day",Administrative176671768186919610110611111612312813313814314815315851962126313641465156[[#This Row],[Cost]]*30,Administrative176671768186919610110611111612312813313814314815315851962126313641465156[[#This Row],[Frequency]]="One-time",Administrative176671768186919610110611111612312813313814314815315851962126313641465156[[#This Row],[Cost]]/SUM(C18,C19)))/$C$17),Administrative176671768186919610110611111612312813313814314815315851962126313641465156[[#This Row],[Unit]]="Per unit/space/household",(_xlfn.IFS(Administrative176671768186919610110611111612312813313814314815315851962126313641465156[[#This Row],[Frequency]]="Per Year",Administrative176671768186919610110611111612312813313814314815315851962126313641465156[[#This Row],[Cost]]/12,Administrative176671768186919610110611111612312813313814314815315851962126313641465156[[#This Row],[Frequency]]="Per month",Administrative176671768186919610110611111612312813313814314815315851962126313641465156[[#This Row],[Cost]],Administrative176671768186919610110611111612312813313814314815315851962126313641465156[[#This Row],[Frequency]]="Per day",Administrative176671768186919610110611111612312813313814314815315851962126313641465156[[#This Row],[Cost]]*30,Administrative176671768186919610110611111612312813313814314815315851962126313641465156[[#This Row],[Frequency]]="One-time",Administrative176671768186919610110611111612312813313814314815315851962126313641465156[[#This Row],[Cost]]/SUM($C$18,$C$19))))</f>
        <v>#N/A</v>
      </c>
      <c r="H30" s="46" t="e">
        <f>Administrative176671768186919610110611111612312813313814314815315851962126313641465156[[#This Row],[Monthly Cost Per Unit]]*12</f>
        <v>#N/A</v>
      </c>
    </row>
    <row r="31" spans="1:9" s="1" customFormat="1" x14ac:dyDescent="0.25">
      <c r="A31" s="80"/>
      <c r="B31" s="81"/>
      <c r="C31" s="82"/>
      <c r="D31" s="83"/>
      <c r="E31" s="84"/>
      <c r="F31" s="84"/>
      <c r="G31" s="54" t="e" cm="1">
        <f t="array" ref="G31">_xlfn.IFS(Administrative176671768186919610110611111612312813313814314815315851962126313641465156[[#This Row],[Unit]]="Program-wide",((_xlfn.IFS(Administrative176671768186919610110611111612312813313814314815315851962126313641465156[[#This Row],[Frequency]]="Per Year",Administrative176671768186919610110611111612312813313814314815315851962126313641465156[[#This Row],[Cost]]/12,Administrative176671768186919610110611111612312813313814314815315851962126313641465156[[#This Row],[Frequency]]="Per month",Administrative176671768186919610110611111612312813313814314815315851962126313641465156[[#This Row],[Cost]],Administrative176671768186919610110611111612312813313814314815315851962126313641465156[[#This Row],[Frequency]]="Per day",Administrative176671768186919610110611111612312813313814314815315851962126313641465156[[#This Row],[Cost]]*30,Administrative176671768186919610110611111612312813313814314815315851962126313641465156[[#This Row],[Frequency]]="One-time",Administrative176671768186919610110611111612312813313814314815315851962126313641465156[[#This Row],[Cost]]/SUM(C18,C19)))/$C$17),Administrative176671768186919610110611111612312813313814314815315851962126313641465156[[#This Row],[Unit]]="Per unit/space/household",(_xlfn.IFS(Administrative176671768186919610110611111612312813313814314815315851962126313641465156[[#This Row],[Frequency]]="Per Year",Administrative176671768186919610110611111612312813313814314815315851962126313641465156[[#This Row],[Cost]]/12,Administrative176671768186919610110611111612312813313814314815315851962126313641465156[[#This Row],[Frequency]]="Per month",Administrative176671768186919610110611111612312813313814314815315851962126313641465156[[#This Row],[Cost]],Administrative176671768186919610110611111612312813313814314815315851962126313641465156[[#This Row],[Frequency]]="Per day",Administrative176671768186919610110611111612312813313814314815315851962126313641465156[[#This Row],[Cost]]*30,Administrative176671768186919610110611111612312813313814314815315851962126313641465156[[#This Row],[Frequency]]="One-time",Administrative176671768186919610110611111612312813313814314815315851962126313641465156[[#This Row],[Cost]]/SUM($C$18,$C$19))))</f>
        <v>#N/A</v>
      </c>
      <c r="H31" s="46" t="e">
        <f>Administrative176671768186919610110611111612312813313814314815315851962126313641465156[[#This Row],[Monthly Cost Per Unit]]*12</f>
        <v>#N/A</v>
      </c>
      <c r="I31"/>
    </row>
    <row r="32" spans="1:9" x14ac:dyDescent="0.25">
      <c r="A32" s="107" t="s">
        <v>20</v>
      </c>
      <c r="B32" s="107"/>
      <c r="C32" s="108" t="s">
        <v>68</v>
      </c>
      <c r="D32" s="109"/>
      <c r="E32" s="108"/>
      <c r="F32" s="108"/>
      <c r="G32" s="110"/>
      <c r="H32" s="111">
        <f>(SUMIF(Administrative176671768186919610110611111612312813313814314815315851962126313641465156[Duration],"While homeless only",Administrative176671768186919610110611111612312813313814314815315851962126313641465156[Monthly Cost Per Unit]))*12</f>
        <v>0</v>
      </c>
    </row>
    <row r="33" spans="1:8" x14ac:dyDescent="0.25">
      <c r="A33" s="112"/>
      <c r="B33" s="112"/>
      <c r="C33" s="108" t="s">
        <v>63</v>
      </c>
      <c r="D33" s="109"/>
      <c r="E33" s="108"/>
      <c r="F33" s="108"/>
      <c r="G33" s="110"/>
      <c r="H33" s="111">
        <f>(SUMIF(Administrative176671768186919610110611111612312813313814314815315851962126313641465156[Duration],"While housed only",Administrative176671768186919610110611111612312813313814314815315851962126313641465156[Monthly Cost Per Unit]))*12</f>
        <v>0</v>
      </c>
    </row>
    <row r="34" spans="1:8" x14ac:dyDescent="0.25">
      <c r="A34" s="112"/>
      <c r="B34" s="112"/>
      <c r="C34" s="108" t="s">
        <v>58</v>
      </c>
      <c r="D34" s="109"/>
      <c r="E34" s="108"/>
      <c r="F34" s="108"/>
      <c r="G34" s="110"/>
      <c r="H34" s="111">
        <f>(SUMIF(Administrative176671768186919610110611111612312813313814314815315851962126313641465156[Duration],"Homeless &amp; housed",Administrative176671768186919610110611111612312813313814314815315851962126313641465156[Monthly Cost Per Unit]))*12</f>
        <v>0</v>
      </c>
    </row>
    <row r="35" spans="1:8" ht="15.75" thickBot="1" x14ac:dyDescent="0.3">
      <c r="A35" s="113"/>
      <c r="B35" s="113"/>
      <c r="C35" s="114" t="s">
        <v>207</v>
      </c>
      <c r="D35" s="115"/>
      <c r="E35" s="114"/>
      <c r="F35" s="114"/>
      <c r="G35" s="116"/>
      <c r="H35" s="117">
        <f>(SUMIF(Administrative176671768186919610110611111612312813313814314815315851962126313641465156[Duration],"N/A",Administrative176671768186919610110611111612312813313814314815315851962126313641465156[Monthly Cost Per Unit]))*12</f>
        <v>0</v>
      </c>
    </row>
    <row r="36" spans="1:8" ht="16.5" thickTop="1" thickBot="1" x14ac:dyDescent="0.3">
      <c r="A36" s="113"/>
      <c r="B36" s="113"/>
      <c r="C36" s="114" t="s">
        <v>42</v>
      </c>
      <c r="D36" s="115"/>
      <c r="E36" s="114"/>
      <c r="F36" s="114"/>
      <c r="G36" s="133"/>
      <c r="H36" s="117">
        <f>SUM(H32:H35)</f>
        <v>0</v>
      </c>
    </row>
    <row r="37" spans="1:8" ht="15.75" thickTop="1" x14ac:dyDescent="0.25">
      <c r="A37" s="10"/>
      <c r="B37" s="10"/>
      <c r="C37" s="10"/>
      <c r="D37" s="10"/>
      <c r="F37" s="129"/>
      <c r="G37" s="129"/>
    </row>
    <row r="38" spans="1:8" x14ac:dyDescent="0.25">
      <c r="A38" s="274" t="s">
        <v>61</v>
      </c>
      <c r="B38" s="274"/>
      <c r="C38" s="274"/>
      <c r="D38" s="274"/>
      <c r="E38" s="274"/>
      <c r="F38" s="274"/>
      <c r="G38" s="274"/>
      <c r="H38" s="274"/>
    </row>
    <row r="39" spans="1:8" ht="30" customHeight="1" outlineLevel="1" x14ac:dyDescent="0.25">
      <c r="A39" s="294" t="s">
        <v>62</v>
      </c>
      <c r="B39" s="294"/>
      <c r="C39" s="294"/>
      <c r="D39" s="294"/>
      <c r="E39" s="294"/>
      <c r="F39" s="294"/>
      <c r="G39" s="294"/>
      <c r="H39" s="294"/>
    </row>
    <row r="40" spans="1:8" s="3" customFormat="1" ht="28.35" customHeight="1" x14ac:dyDescent="0.25">
      <c r="A40" s="131" t="s">
        <v>51</v>
      </c>
      <c r="B40" s="131" t="s">
        <v>52</v>
      </c>
      <c r="C40" s="131" t="s">
        <v>53</v>
      </c>
      <c r="D40" s="131" t="s">
        <v>54</v>
      </c>
      <c r="E40" s="131" t="s">
        <v>55</v>
      </c>
      <c r="F40" s="131" t="s">
        <v>56</v>
      </c>
      <c r="G40" s="131" t="s">
        <v>57</v>
      </c>
      <c r="H40" s="132" t="s">
        <v>20</v>
      </c>
    </row>
    <row r="41" spans="1:8" x14ac:dyDescent="0.25">
      <c r="A41" s="75"/>
      <c r="B41" s="76"/>
      <c r="C41" s="88"/>
      <c r="D41" s="89"/>
      <c r="E41" s="79"/>
      <c r="F41" s="79"/>
      <c r="G41" s="53" t="e" cm="1">
        <f t="array" ref="G41">_xlfn.IFS(Operations186772778287929710210711211712412913413914414915415952972227323742475257[[#This Row],[Unit]]="Program-wide",((_xlfn.IFS(Operations186772778287929710210711211712412913413914414915415952972227323742475257[[#This Row],[Frequency]]="Per Year",Operations186772778287929710210711211712412913413914414915415952972227323742475257[[#This Row],[Cost]]/12,Operations186772778287929710210711211712412913413914414915415952972227323742475257[[#This Row],[Frequency]]="Per month",Operations186772778287929710210711211712412913413914414915415952972227323742475257[[#This Row],[Cost]],Operations186772778287929710210711211712412913413914414915415952972227323742475257[[#This Row],[Frequency]]="Per day",Operations186772778287929710210711211712412913413914414915415952972227323742475257[[#This Row],[Cost]]*30,Operations186772778287929710210711211712412913413914414915415952972227323742475257[[#This Row],[Frequency]]="One-time",Operations186772778287929710210711211712412913413914414915415952972227323742475257[[#This Row],[Cost]]/SUM(C18,C19)))/$C$17),Operations186772778287929710210711211712412913413914414915415952972227323742475257[[#This Row],[Unit]]="Per unit/space/household",(_xlfn.IFS(Operations186772778287929710210711211712412913413914414915415952972227323742475257[[#This Row],[Frequency]]="Per Year",Operations186772778287929710210711211712412913413914414915415952972227323742475257[[#This Row],[Cost]]/12,Operations186772778287929710210711211712412913413914414915415952972227323742475257[[#This Row],[Frequency]]="Per month",Operations186772778287929710210711211712412913413914414915415952972227323742475257[[#This Row],[Cost]],Operations186772778287929710210711211712412913413914414915415952972227323742475257[[#This Row],[Frequency]]="Per day",Operations186772778287929710210711211712412913413914414915415952972227323742475257[[#This Row],[Cost]]*30,Operations186772778287929710210711211712412913413914414915415952972227323742475257[[#This Row],[Frequency]]="One-time",Operations186772778287929710210711211712412913413914414915415952972227323742475257[[#This Row],[Cost]]/SUM($C$18,$C$19))))</f>
        <v>#N/A</v>
      </c>
      <c r="H41" s="46" t="e">
        <f>Operations186772778287929710210711211712412913413914414915415952972227323742475257[[#This Row],[Monthly Cost Per Unit]]*12</f>
        <v>#N/A</v>
      </c>
    </row>
    <row r="42" spans="1:8" x14ac:dyDescent="0.25">
      <c r="A42" s="75"/>
      <c r="B42" s="76"/>
      <c r="C42" s="77"/>
      <c r="D42" s="78"/>
      <c r="E42" s="79"/>
      <c r="F42" s="79"/>
      <c r="G42" s="53" t="e" cm="1">
        <f t="array" ref="G42">_xlfn.IFS(Operations186772778287929710210711211712412913413914414915415952972227323742475257[[#This Row],[Unit]]="Program-wide",((_xlfn.IFS(Operations186772778287929710210711211712412913413914414915415952972227323742475257[[#This Row],[Frequency]]="Per Year",Operations186772778287929710210711211712412913413914414915415952972227323742475257[[#This Row],[Cost]]/12,Operations186772778287929710210711211712412913413914414915415952972227323742475257[[#This Row],[Frequency]]="Per month",Operations186772778287929710210711211712412913413914414915415952972227323742475257[[#This Row],[Cost]],Operations186772778287929710210711211712412913413914414915415952972227323742475257[[#This Row],[Frequency]]="Per day",Operations186772778287929710210711211712412913413914414915415952972227323742475257[[#This Row],[Cost]]*30,Operations186772778287929710210711211712412913413914414915415952972227323742475257[[#This Row],[Frequency]]="One-time",Operations186772778287929710210711211712412913413914414915415952972227323742475257[[#This Row],[Cost]]/SUM($C$18,$C$19)))/$C$17),Operations186772778287929710210711211712412913413914414915415952972227323742475257[[#This Row],[Unit]]="Per unit/space/household",(_xlfn.IFS(Operations186772778287929710210711211712412913413914414915415952972227323742475257[[#This Row],[Frequency]]="Per Year",Operations186772778287929710210711211712412913413914414915415952972227323742475257[[#This Row],[Cost]]/12,Operations186772778287929710210711211712412913413914414915415952972227323742475257[[#This Row],[Frequency]]="Per month",Operations186772778287929710210711211712412913413914414915415952972227323742475257[[#This Row],[Cost]],Operations186772778287929710210711211712412913413914414915415952972227323742475257[[#This Row],[Frequency]]="Per day",Operations186772778287929710210711211712412913413914414915415952972227323742475257[[#This Row],[Cost]]*30,Operations186772778287929710210711211712412913413914414915415952972227323742475257[[#This Row],[Frequency]]="One-time",Operations186772778287929710210711211712412913413914414915415952972227323742475257[[#This Row],[Cost]]/SUM($C$18,$C$19))))</f>
        <v>#N/A</v>
      </c>
      <c r="H42" s="46" t="e">
        <f>Operations186772778287929710210711211712412913413914414915415952972227323742475257[[#This Row],[Monthly Cost Per Unit]]*12</f>
        <v>#N/A</v>
      </c>
    </row>
    <row r="43" spans="1:8" x14ac:dyDescent="0.25">
      <c r="A43" s="75"/>
      <c r="B43" s="76"/>
      <c r="C43" s="77"/>
      <c r="D43" s="78"/>
      <c r="E43" s="79"/>
      <c r="F43" s="79"/>
      <c r="G43" s="53" t="e" cm="1">
        <f t="array" ref="G43">_xlfn.IFS(Operations186772778287929710210711211712412913413914414915415952972227323742475257[[#This Row],[Unit]]="Program-wide",((_xlfn.IFS(Operations186772778287929710210711211712412913413914414915415952972227323742475257[[#This Row],[Frequency]]="Per Year",Operations186772778287929710210711211712412913413914414915415952972227323742475257[[#This Row],[Cost]]/12,Operations186772778287929710210711211712412913413914414915415952972227323742475257[[#This Row],[Frequency]]="Per month",Operations186772778287929710210711211712412913413914414915415952972227323742475257[[#This Row],[Cost]],Operations186772778287929710210711211712412913413914414915415952972227323742475257[[#This Row],[Frequency]]="Per day",Operations186772778287929710210711211712412913413914414915415952972227323742475257[[#This Row],[Cost]]*30,Operations186772778287929710210711211712412913413914414915415952972227323742475257[[#This Row],[Frequency]]="One-time",Operations186772778287929710210711211712412913413914414915415952972227323742475257[[#This Row],[Cost]]/SUM($C$18,$C$19)))/$C$17),Operations186772778287929710210711211712412913413914414915415952972227323742475257[[#This Row],[Unit]]="Per unit/space/household",(_xlfn.IFS(Operations186772778287929710210711211712412913413914414915415952972227323742475257[[#This Row],[Frequency]]="Per Year",Operations186772778287929710210711211712412913413914414915415952972227323742475257[[#This Row],[Cost]]/12,Operations186772778287929710210711211712412913413914414915415952972227323742475257[[#This Row],[Frequency]]="Per month",Operations186772778287929710210711211712412913413914414915415952972227323742475257[[#This Row],[Cost]],Operations186772778287929710210711211712412913413914414915415952972227323742475257[[#This Row],[Frequency]]="Per day",Operations186772778287929710210711211712412913413914414915415952972227323742475257[[#This Row],[Cost]]*30,Operations186772778287929710210711211712412913413914414915415952972227323742475257[[#This Row],[Frequency]]="One-time",Operations186772778287929710210711211712412913413914414915415952972227323742475257[[#This Row],[Cost]]/SUM($C$18,$C$19))))</f>
        <v>#N/A</v>
      </c>
      <c r="H43" s="46" t="e">
        <f>Operations186772778287929710210711211712412913413914414915415952972227323742475257[[#This Row],[Monthly Cost Per Unit]]*12</f>
        <v>#N/A</v>
      </c>
    </row>
    <row r="44" spans="1:8" x14ac:dyDescent="0.25">
      <c r="A44" s="75"/>
      <c r="B44" s="76"/>
      <c r="C44" s="77"/>
      <c r="D44" s="78"/>
      <c r="E44" s="79"/>
      <c r="F44" s="79"/>
      <c r="G44" s="53" t="e" cm="1">
        <f t="array" ref="G44">_xlfn.IFS(Operations186772778287929710210711211712412913413914414915415952972227323742475257[[#This Row],[Unit]]="Program-wide",((_xlfn.IFS(Operations186772778287929710210711211712412913413914414915415952972227323742475257[[#This Row],[Frequency]]="Per Year",Operations186772778287929710210711211712412913413914414915415952972227323742475257[[#This Row],[Cost]]/12,Operations186772778287929710210711211712412913413914414915415952972227323742475257[[#This Row],[Frequency]]="Per month",Operations186772778287929710210711211712412913413914414915415952972227323742475257[[#This Row],[Cost]],Operations186772778287929710210711211712412913413914414915415952972227323742475257[[#This Row],[Frequency]]="Per day",Operations186772778287929710210711211712412913413914414915415952972227323742475257[[#This Row],[Cost]]*30,Operations186772778287929710210711211712412913413914414915415952972227323742475257[[#This Row],[Frequency]]="One-time",Operations186772778287929710210711211712412913413914414915415952972227323742475257[[#This Row],[Cost]]/SUM($C$18,$C$19)))/$C$17),Operations186772778287929710210711211712412913413914414915415952972227323742475257[[#This Row],[Unit]]="Per unit/space/household",(_xlfn.IFS(Operations186772778287929710210711211712412913413914414915415952972227323742475257[[#This Row],[Frequency]]="Per Year",Operations186772778287929710210711211712412913413914414915415952972227323742475257[[#This Row],[Cost]]/12,Operations186772778287929710210711211712412913413914414915415952972227323742475257[[#This Row],[Frequency]]="Per month",Operations186772778287929710210711211712412913413914414915415952972227323742475257[[#This Row],[Cost]],Operations186772778287929710210711211712412913413914414915415952972227323742475257[[#This Row],[Frequency]]="Per day",Operations186772778287929710210711211712412913413914414915415952972227323742475257[[#This Row],[Cost]]*30,Operations186772778287929710210711211712412913413914414915415952972227323742475257[[#This Row],[Frequency]]="One-time",Operations186772778287929710210711211712412913413914414915415952972227323742475257[[#This Row],[Cost]]/SUM($C$18,$C$19))))</f>
        <v>#N/A</v>
      </c>
      <c r="H44" s="46" t="e">
        <f>Operations186772778287929710210711211712412913413914414915415952972227323742475257[[#This Row],[Monthly Cost Per Unit]]*12</f>
        <v>#N/A</v>
      </c>
    </row>
    <row r="45" spans="1:8" x14ac:dyDescent="0.25">
      <c r="A45" s="75"/>
      <c r="B45" s="76"/>
      <c r="C45" s="77"/>
      <c r="D45" s="78"/>
      <c r="E45" s="79"/>
      <c r="F45" s="79"/>
      <c r="G45" s="53" t="e" cm="1">
        <f t="array" ref="G45">_xlfn.IFS(Operations186772778287929710210711211712412913413914414915415952972227323742475257[[#This Row],[Unit]]="Program-wide",((_xlfn.IFS(Operations186772778287929710210711211712412913413914414915415952972227323742475257[[#This Row],[Frequency]]="Per Year",Operations186772778287929710210711211712412913413914414915415952972227323742475257[[#This Row],[Cost]]/12,Operations186772778287929710210711211712412913413914414915415952972227323742475257[[#This Row],[Frequency]]="Per month",Operations186772778287929710210711211712412913413914414915415952972227323742475257[[#This Row],[Cost]],Operations186772778287929710210711211712412913413914414915415952972227323742475257[[#This Row],[Frequency]]="Per day",Operations186772778287929710210711211712412913413914414915415952972227323742475257[[#This Row],[Cost]]*30,Operations186772778287929710210711211712412913413914414915415952972227323742475257[[#This Row],[Frequency]]="One-time",Operations186772778287929710210711211712412913413914414915415952972227323742475257[[#This Row],[Cost]]/SUM($C$18,$C$19)))/$C$17),Operations186772778287929710210711211712412913413914414915415952972227323742475257[[#This Row],[Unit]]="Per unit/space/household",(_xlfn.IFS(Operations186772778287929710210711211712412913413914414915415952972227323742475257[[#This Row],[Frequency]]="Per Year",Operations186772778287929710210711211712412913413914414915415952972227323742475257[[#This Row],[Cost]]/12,Operations186772778287929710210711211712412913413914414915415952972227323742475257[[#This Row],[Frequency]]="Per month",Operations186772778287929710210711211712412913413914414915415952972227323742475257[[#This Row],[Cost]],Operations186772778287929710210711211712412913413914414915415952972227323742475257[[#This Row],[Frequency]]="Per day",Operations186772778287929710210711211712412913413914414915415952972227323742475257[[#This Row],[Cost]]*30,Operations186772778287929710210711211712412913413914414915415952972227323742475257[[#This Row],[Frequency]]="One-time",Operations186772778287929710210711211712412913413914414915415952972227323742475257[[#This Row],[Cost]]/SUM($C$18,$C$19))))</f>
        <v>#N/A</v>
      </c>
      <c r="H45" s="46" t="e">
        <f>Operations186772778287929710210711211712412913413914414915415952972227323742475257[[#This Row],[Monthly Cost Per Unit]]*12</f>
        <v>#N/A</v>
      </c>
    </row>
    <row r="46" spans="1:8" x14ac:dyDescent="0.25">
      <c r="A46" s="75"/>
      <c r="B46" s="76"/>
      <c r="C46" s="77"/>
      <c r="D46" s="78"/>
      <c r="E46" s="79"/>
      <c r="F46" s="79"/>
      <c r="G46" s="53" t="e" cm="1">
        <f t="array" ref="G46">_xlfn.IFS(Operations186772778287929710210711211712412913413914414915415952972227323742475257[[#This Row],[Unit]]="Program-wide",((_xlfn.IFS(Operations186772778287929710210711211712412913413914414915415952972227323742475257[[#This Row],[Frequency]]="Per Year",Operations186772778287929710210711211712412913413914414915415952972227323742475257[[#This Row],[Cost]]/12,Operations186772778287929710210711211712412913413914414915415952972227323742475257[[#This Row],[Frequency]]="Per month",Operations186772778287929710210711211712412913413914414915415952972227323742475257[[#This Row],[Cost]],Operations186772778287929710210711211712412913413914414915415952972227323742475257[[#This Row],[Frequency]]="Per day",Operations186772778287929710210711211712412913413914414915415952972227323742475257[[#This Row],[Cost]]*30,Operations186772778287929710210711211712412913413914414915415952972227323742475257[[#This Row],[Frequency]]="One-time",Operations186772778287929710210711211712412913413914414915415952972227323742475257[[#This Row],[Cost]]/SUM($C$18,$C$19)))/$C$17),Operations186772778287929710210711211712412913413914414915415952972227323742475257[[#This Row],[Unit]]="Per unit/space/household",(_xlfn.IFS(Operations186772778287929710210711211712412913413914414915415952972227323742475257[[#This Row],[Frequency]]="Per Year",Operations186772778287929710210711211712412913413914414915415952972227323742475257[[#This Row],[Cost]]/12,Operations186772778287929710210711211712412913413914414915415952972227323742475257[[#This Row],[Frequency]]="Per month",Operations186772778287929710210711211712412913413914414915415952972227323742475257[[#This Row],[Cost]],Operations186772778287929710210711211712412913413914414915415952972227323742475257[[#This Row],[Frequency]]="Per day",Operations186772778287929710210711211712412913413914414915415952972227323742475257[[#This Row],[Cost]]*30,Operations186772778287929710210711211712412913413914414915415952972227323742475257[[#This Row],[Frequency]]="One-time",Operations186772778287929710210711211712412913413914414915415952972227323742475257[[#This Row],[Cost]]/SUM($C$18,$C$19))))</f>
        <v>#N/A</v>
      </c>
      <c r="H46" s="46" t="e">
        <f>Operations186772778287929710210711211712412913413914414915415952972227323742475257[[#This Row],[Monthly Cost Per Unit]]*12</f>
        <v>#N/A</v>
      </c>
    </row>
    <row r="47" spans="1:8" x14ac:dyDescent="0.25">
      <c r="A47" s="75"/>
      <c r="B47" s="76"/>
      <c r="C47" s="77"/>
      <c r="D47" s="78"/>
      <c r="E47" s="79"/>
      <c r="F47" s="79"/>
      <c r="G47" s="53" t="e" cm="1">
        <f t="array" ref="G47">_xlfn.IFS(Operations186772778287929710210711211712412913413914414915415952972227323742475257[[#This Row],[Unit]]="Program-wide",((_xlfn.IFS(Operations186772778287929710210711211712412913413914414915415952972227323742475257[[#This Row],[Frequency]]="Per Year",Operations186772778287929710210711211712412913413914414915415952972227323742475257[[#This Row],[Cost]]/12,Operations186772778287929710210711211712412913413914414915415952972227323742475257[[#This Row],[Frequency]]="Per month",Operations186772778287929710210711211712412913413914414915415952972227323742475257[[#This Row],[Cost]],Operations186772778287929710210711211712412913413914414915415952972227323742475257[[#This Row],[Frequency]]="Per day",Operations186772778287929710210711211712412913413914414915415952972227323742475257[[#This Row],[Cost]]*30,Operations186772778287929710210711211712412913413914414915415952972227323742475257[[#This Row],[Frequency]]="One-time",Operations186772778287929710210711211712412913413914414915415952972227323742475257[[#This Row],[Cost]]/SUM($C$18,$C$19)))/$C$17),Operations186772778287929710210711211712412913413914414915415952972227323742475257[[#This Row],[Unit]]="Per unit/space/household",(_xlfn.IFS(Operations186772778287929710210711211712412913413914414915415952972227323742475257[[#This Row],[Frequency]]="Per Year",Operations186772778287929710210711211712412913413914414915415952972227323742475257[[#This Row],[Cost]]/12,Operations186772778287929710210711211712412913413914414915415952972227323742475257[[#This Row],[Frequency]]="Per month",Operations186772778287929710210711211712412913413914414915415952972227323742475257[[#This Row],[Cost]],Operations186772778287929710210711211712412913413914414915415952972227323742475257[[#This Row],[Frequency]]="Per day",Operations186772778287929710210711211712412913413914414915415952972227323742475257[[#This Row],[Cost]]*30,Operations186772778287929710210711211712412913413914414915415952972227323742475257[[#This Row],[Frequency]]="One-time",Operations186772778287929710210711211712412913413914414915415952972227323742475257[[#This Row],[Cost]]/SUM($C$18,$C$19))))</f>
        <v>#N/A</v>
      </c>
      <c r="H47" s="46" t="e">
        <f>Operations186772778287929710210711211712412913413914414915415952972227323742475257[[#This Row],[Monthly Cost Per Unit]]*12</f>
        <v>#N/A</v>
      </c>
    </row>
    <row r="48" spans="1:8" x14ac:dyDescent="0.25">
      <c r="A48" s="75"/>
      <c r="B48" s="76"/>
      <c r="C48" s="77"/>
      <c r="D48" s="78"/>
      <c r="E48" s="79"/>
      <c r="F48" s="79"/>
      <c r="G48" s="53" t="e" cm="1">
        <f t="array" ref="G48">_xlfn.IFS(Operations186772778287929710210711211712412913413914414915415952972227323742475257[[#This Row],[Unit]]="Program-wide",((_xlfn.IFS(Operations186772778287929710210711211712412913413914414915415952972227323742475257[[#This Row],[Frequency]]="Per Year",Operations186772778287929710210711211712412913413914414915415952972227323742475257[[#This Row],[Cost]]/12,Operations186772778287929710210711211712412913413914414915415952972227323742475257[[#This Row],[Frequency]]="Per month",Operations186772778287929710210711211712412913413914414915415952972227323742475257[[#This Row],[Cost]],Operations186772778287929710210711211712412913413914414915415952972227323742475257[[#This Row],[Frequency]]="Per day",Operations186772778287929710210711211712412913413914414915415952972227323742475257[[#This Row],[Cost]]*30,Operations186772778287929710210711211712412913413914414915415952972227323742475257[[#This Row],[Frequency]]="One-time",Operations186772778287929710210711211712412913413914414915415952972227323742475257[[#This Row],[Cost]]/SUM($C$18,$C$19)))/$C$17),Operations186772778287929710210711211712412913413914414915415952972227323742475257[[#This Row],[Unit]]="Per unit/space/household",(_xlfn.IFS(Operations186772778287929710210711211712412913413914414915415952972227323742475257[[#This Row],[Frequency]]="Per Year",Operations186772778287929710210711211712412913413914414915415952972227323742475257[[#This Row],[Cost]]/12,Operations186772778287929710210711211712412913413914414915415952972227323742475257[[#This Row],[Frequency]]="Per month",Operations186772778287929710210711211712412913413914414915415952972227323742475257[[#This Row],[Cost]],Operations186772778287929710210711211712412913413914414915415952972227323742475257[[#This Row],[Frequency]]="Per day",Operations186772778287929710210711211712412913413914414915415952972227323742475257[[#This Row],[Cost]]*30,Operations186772778287929710210711211712412913413914414915415952972227323742475257[[#This Row],[Frequency]]="One-time",Operations186772778287929710210711211712412913413914414915415952972227323742475257[[#This Row],[Cost]]/SUM($C$18,$C$19))))</f>
        <v>#N/A</v>
      </c>
      <c r="H48" s="46" t="e">
        <f>Operations186772778287929710210711211712412913413914414915415952972227323742475257[[#This Row],[Monthly Cost Per Unit]]*12</f>
        <v>#N/A</v>
      </c>
    </row>
    <row r="49" spans="1:9" x14ac:dyDescent="0.25">
      <c r="A49" s="75"/>
      <c r="B49" s="76"/>
      <c r="C49" s="77"/>
      <c r="D49" s="78"/>
      <c r="E49" s="79"/>
      <c r="F49" s="79"/>
      <c r="G49" s="53" t="e" cm="1">
        <f t="array" ref="G49">_xlfn.IFS(Operations186772778287929710210711211712412913413914414915415952972227323742475257[[#This Row],[Unit]]="Program-wide",((_xlfn.IFS(Operations186772778287929710210711211712412913413914414915415952972227323742475257[[#This Row],[Frequency]]="Per Year",Operations186772778287929710210711211712412913413914414915415952972227323742475257[[#This Row],[Cost]]/12,Operations186772778287929710210711211712412913413914414915415952972227323742475257[[#This Row],[Frequency]]="Per month",Operations186772778287929710210711211712412913413914414915415952972227323742475257[[#This Row],[Cost]],Operations186772778287929710210711211712412913413914414915415952972227323742475257[[#This Row],[Frequency]]="Per day",Operations186772778287929710210711211712412913413914414915415952972227323742475257[[#This Row],[Cost]]*30,Operations186772778287929710210711211712412913413914414915415952972227323742475257[[#This Row],[Frequency]]="One-time",Operations186772778287929710210711211712412913413914414915415952972227323742475257[[#This Row],[Cost]]/SUM($C$18,$C$19)))/$C$17),Operations186772778287929710210711211712412913413914414915415952972227323742475257[[#This Row],[Unit]]="Per unit/space/household",(_xlfn.IFS(Operations186772778287929710210711211712412913413914414915415952972227323742475257[[#This Row],[Frequency]]="Per Year",Operations186772778287929710210711211712412913413914414915415952972227323742475257[[#This Row],[Cost]]/12,Operations186772778287929710210711211712412913413914414915415952972227323742475257[[#This Row],[Frequency]]="Per month",Operations186772778287929710210711211712412913413914414915415952972227323742475257[[#This Row],[Cost]],Operations186772778287929710210711211712412913413914414915415952972227323742475257[[#This Row],[Frequency]]="Per day",Operations186772778287929710210711211712412913413914414915415952972227323742475257[[#This Row],[Cost]]*30,Operations186772778287929710210711211712412913413914414915415952972227323742475257[[#This Row],[Frequency]]="One-time",Operations186772778287929710210711211712412913413914414915415952972227323742475257[[#This Row],[Cost]]/SUM($C$18,$C$19))))</f>
        <v>#N/A</v>
      </c>
      <c r="H49" s="46" t="e">
        <f>Operations186772778287929710210711211712412913413914414915415952972227323742475257[[#This Row],[Monthly Cost Per Unit]]*12</f>
        <v>#N/A</v>
      </c>
    </row>
    <row r="50" spans="1:9" x14ac:dyDescent="0.25">
      <c r="A50" s="75"/>
      <c r="B50" s="76"/>
      <c r="C50" s="77"/>
      <c r="D50" s="78"/>
      <c r="E50" s="79"/>
      <c r="F50" s="79"/>
      <c r="G50" s="53" t="e" cm="1">
        <f t="array" ref="G50">_xlfn.IFS(Operations186772778287929710210711211712412913413914414915415952972227323742475257[[#This Row],[Unit]]="Program-wide",((_xlfn.IFS(Operations186772778287929710210711211712412913413914414915415952972227323742475257[[#This Row],[Frequency]]="Per Year",Operations186772778287929710210711211712412913413914414915415952972227323742475257[[#This Row],[Cost]]/12,Operations186772778287929710210711211712412913413914414915415952972227323742475257[[#This Row],[Frequency]]="Per month",Operations186772778287929710210711211712412913413914414915415952972227323742475257[[#This Row],[Cost]],Operations186772778287929710210711211712412913413914414915415952972227323742475257[[#This Row],[Frequency]]="Per day",Operations186772778287929710210711211712412913413914414915415952972227323742475257[[#This Row],[Cost]]*30,Operations186772778287929710210711211712412913413914414915415952972227323742475257[[#This Row],[Frequency]]="One-time",Operations186772778287929710210711211712412913413914414915415952972227323742475257[[#This Row],[Cost]]/SUM($C$18,$C$19)))/$C$17),Operations186772778287929710210711211712412913413914414915415952972227323742475257[[#This Row],[Unit]]="Per unit/space/household",(_xlfn.IFS(Operations186772778287929710210711211712412913413914414915415952972227323742475257[[#This Row],[Frequency]]="Per Year",Operations186772778287929710210711211712412913413914414915415952972227323742475257[[#This Row],[Cost]]/12,Operations186772778287929710210711211712412913413914414915415952972227323742475257[[#This Row],[Frequency]]="Per month",Operations186772778287929710210711211712412913413914414915415952972227323742475257[[#This Row],[Cost]],Operations186772778287929710210711211712412913413914414915415952972227323742475257[[#This Row],[Frequency]]="Per day",Operations186772778287929710210711211712412913413914414915415952972227323742475257[[#This Row],[Cost]]*30,Operations186772778287929710210711211712412913413914414915415952972227323742475257[[#This Row],[Frequency]]="One-time",Operations186772778287929710210711211712412913413914414915415952972227323742475257[[#This Row],[Cost]]/SUM($C$18,$C$19))))</f>
        <v>#N/A</v>
      </c>
      <c r="H50" s="46" t="e">
        <f>Operations186772778287929710210711211712412913413914414915415952972227323742475257[[#This Row],[Monthly Cost Per Unit]]*12</f>
        <v>#N/A</v>
      </c>
    </row>
    <row r="51" spans="1:9" x14ac:dyDescent="0.25">
      <c r="A51" s="75"/>
      <c r="B51" s="76"/>
      <c r="C51" s="77"/>
      <c r="D51" s="78"/>
      <c r="E51" s="79"/>
      <c r="F51" s="79"/>
      <c r="G51" s="53" t="e" cm="1">
        <f t="array" ref="G51">_xlfn.IFS(Operations186772778287929710210711211712412913413914414915415952972227323742475257[[#This Row],[Unit]]="Program-wide",((_xlfn.IFS(Operations186772778287929710210711211712412913413914414915415952972227323742475257[[#This Row],[Frequency]]="Per Year",Operations186772778287929710210711211712412913413914414915415952972227323742475257[[#This Row],[Cost]]/12,Operations186772778287929710210711211712412913413914414915415952972227323742475257[[#This Row],[Frequency]]="Per month",Operations186772778287929710210711211712412913413914414915415952972227323742475257[[#This Row],[Cost]],Operations186772778287929710210711211712412913413914414915415952972227323742475257[[#This Row],[Frequency]]="Per day",Operations186772778287929710210711211712412913413914414915415952972227323742475257[[#This Row],[Cost]]*30,Operations186772778287929710210711211712412913413914414915415952972227323742475257[[#This Row],[Frequency]]="One-time",Operations186772778287929710210711211712412913413914414915415952972227323742475257[[#This Row],[Cost]]/SUM($C$18,$C$19)))/$C$17),Operations186772778287929710210711211712412913413914414915415952972227323742475257[[#This Row],[Unit]]="Per unit/space/household",(_xlfn.IFS(Operations186772778287929710210711211712412913413914414915415952972227323742475257[[#This Row],[Frequency]]="Per Year",Operations186772778287929710210711211712412913413914414915415952972227323742475257[[#This Row],[Cost]]/12,Operations186772778287929710210711211712412913413914414915415952972227323742475257[[#This Row],[Frequency]]="Per month",Operations186772778287929710210711211712412913413914414915415952972227323742475257[[#This Row],[Cost]],Operations186772778287929710210711211712412913413914414915415952972227323742475257[[#This Row],[Frequency]]="Per day",Operations186772778287929710210711211712412913413914414915415952972227323742475257[[#This Row],[Cost]]*30,Operations186772778287929710210711211712412913413914414915415952972227323742475257[[#This Row],[Frequency]]="One-time",Operations186772778287929710210711211712412913413914414915415952972227323742475257[[#This Row],[Cost]]/SUM($C$18,$C$19))))</f>
        <v>#N/A</v>
      </c>
      <c r="H51" s="46" t="e">
        <f>Operations186772778287929710210711211712412913413914414915415952972227323742475257[[#This Row],[Monthly Cost Per Unit]]*12</f>
        <v>#N/A</v>
      </c>
    </row>
    <row r="52" spans="1:9" x14ac:dyDescent="0.25">
      <c r="A52" s="75"/>
      <c r="B52" s="76"/>
      <c r="C52" s="77"/>
      <c r="D52" s="78"/>
      <c r="E52" s="79"/>
      <c r="F52" s="79"/>
      <c r="G52" s="55" t="e" cm="1">
        <f t="array" ref="G52">_xlfn.IFS(Operations186772778287929710210711211712412913413914414915415952972227323742475257[[#This Row],[Unit]]="Program-wide",((_xlfn.IFS(Operations186772778287929710210711211712412913413914414915415952972227323742475257[[#This Row],[Frequency]]="Per Year",Operations186772778287929710210711211712412913413914414915415952972227323742475257[[#This Row],[Cost]]/12,Operations186772778287929710210711211712412913413914414915415952972227323742475257[[#This Row],[Frequency]]="Per month",Operations186772778287929710210711211712412913413914414915415952972227323742475257[[#This Row],[Cost]],Operations186772778287929710210711211712412913413914414915415952972227323742475257[[#This Row],[Frequency]]="Per day",Operations186772778287929710210711211712412913413914414915415952972227323742475257[[#This Row],[Cost]]*30,Operations186772778287929710210711211712412913413914414915415952972227323742475257[[#This Row],[Frequency]]="One-time",Operations186772778287929710210711211712412913413914414915415952972227323742475257[[#This Row],[Cost]]/SUM($C$18,$C$19)))/$C$17),Operations186772778287929710210711211712412913413914414915415952972227323742475257[[#This Row],[Unit]]="Per unit/space/household",(_xlfn.IFS(Operations186772778287929710210711211712412913413914414915415952972227323742475257[[#This Row],[Frequency]]="Per Year",Operations186772778287929710210711211712412913413914414915415952972227323742475257[[#This Row],[Cost]]/12,Operations186772778287929710210711211712412913413914414915415952972227323742475257[[#This Row],[Frequency]]="Per month",Operations186772778287929710210711211712412913413914414915415952972227323742475257[[#This Row],[Cost]],Operations186772778287929710210711211712412913413914414915415952972227323742475257[[#This Row],[Frequency]]="Per day",Operations186772778287929710210711211712412913413914414915415952972227323742475257[[#This Row],[Cost]]*30,Operations186772778287929710210711211712412913413914414915415952972227323742475257[[#This Row],[Frequency]]="One-time",Operations186772778287929710210711211712412913413914414915415952972227323742475257[[#This Row],[Cost]]/SUM($C$18,$C$19))))</f>
        <v>#N/A</v>
      </c>
      <c r="H52" s="46" t="e">
        <f>Operations186772778287929710210711211712412913413914414915415952972227323742475257[[#This Row],[Monthly Cost Per Unit]]*12</f>
        <v>#N/A</v>
      </c>
    </row>
    <row r="53" spans="1:9" x14ac:dyDescent="0.25">
      <c r="A53" s="107" t="s">
        <v>20</v>
      </c>
      <c r="B53" s="107"/>
      <c r="C53" s="108" t="s">
        <v>68</v>
      </c>
      <c r="D53" s="109"/>
      <c r="E53" s="108"/>
      <c r="F53" s="108"/>
      <c r="G53" s="118"/>
      <c r="H53" s="111">
        <f>(SUMIF(Operations186772778287929710210711211712412913413914414915415952972227323742475257[Duration],"While homeless only",Operations186772778287929710210711211712412913413914414915415952972227323742475257[Monthly Cost Per Unit]))*12</f>
        <v>0</v>
      </c>
    </row>
    <row r="54" spans="1:9" x14ac:dyDescent="0.25">
      <c r="A54" s="112"/>
      <c r="B54" s="112"/>
      <c r="C54" s="108" t="s">
        <v>63</v>
      </c>
      <c r="D54" s="109"/>
      <c r="E54" s="108"/>
      <c r="F54" s="108"/>
      <c r="G54" s="111"/>
      <c r="H54" s="111">
        <f>(SUMIF(Operations186772778287929710210711211712412913413914414915415952972227323742475257[Duration],"While housed only",Operations186772778287929710210711211712412913413914414915415952972227323742475257[Monthly Cost Per Unit]))*12</f>
        <v>0</v>
      </c>
    </row>
    <row r="55" spans="1:9" x14ac:dyDescent="0.25">
      <c r="A55" s="112"/>
      <c r="B55" s="112"/>
      <c r="C55" s="108" t="s">
        <v>58</v>
      </c>
      <c r="D55" s="109"/>
      <c r="E55" s="108"/>
      <c r="F55" s="108"/>
      <c r="G55" s="111"/>
      <c r="H55" s="111">
        <f>(SUMIF(Operations186772778287929710210711211712412913413914414915415952972227323742475257[Duration],"Homeless &amp; housed",Operations186772778287929710210711211712412913413914414915415952972227323742475257[Monthly Cost Per Unit]))*12</f>
        <v>0</v>
      </c>
    </row>
    <row r="56" spans="1:9" ht="15.75" thickBot="1" x14ac:dyDescent="0.3">
      <c r="A56" s="113"/>
      <c r="B56" s="113"/>
      <c r="C56" s="114" t="s">
        <v>207</v>
      </c>
      <c r="D56" s="115"/>
      <c r="E56" s="114"/>
      <c r="F56" s="114"/>
      <c r="G56" s="117"/>
      <c r="H56" s="117">
        <f>(SUMIF(Operations186772778287929710210711211712412913413914414915415952972227323742475257[Duration],"N/A",Operations186772778287929710210711211712412913413914414915415952972227323742475257[Monthly Cost Per Unit]))*12</f>
        <v>0</v>
      </c>
    </row>
    <row r="57" spans="1:9" ht="16.5" thickTop="1" thickBot="1" x14ac:dyDescent="0.3">
      <c r="A57" s="113"/>
      <c r="B57" s="113"/>
      <c r="C57" s="114" t="s">
        <v>42</v>
      </c>
      <c r="D57" s="115"/>
      <c r="E57" s="114"/>
      <c r="F57" s="114"/>
      <c r="G57" s="117"/>
      <c r="H57" s="117">
        <f>SUM(H53:H56)</f>
        <v>0</v>
      </c>
    </row>
    <row r="58" spans="1:9" ht="15.75" thickTop="1" x14ac:dyDescent="0.25">
      <c r="A58" s="134"/>
      <c r="B58" s="134"/>
      <c r="C58" s="135"/>
      <c r="D58" s="136"/>
      <c r="E58" s="137"/>
      <c r="F58" s="137"/>
      <c r="G58" s="138"/>
    </row>
    <row r="59" spans="1:9" x14ac:dyDescent="0.25">
      <c r="A59" s="274" t="s">
        <v>69</v>
      </c>
      <c r="B59" s="274"/>
      <c r="C59" s="274"/>
      <c r="D59" s="274"/>
      <c r="E59" s="274"/>
      <c r="F59" s="274"/>
      <c r="G59" s="274"/>
      <c r="H59" s="274"/>
      <c r="I59" s="129"/>
    </row>
    <row r="60" spans="1:9" ht="27.95" customHeight="1" outlineLevel="1" x14ac:dyDescent="0.25">
      <c r="A60" s="281" t="s">
        <v>108</v>
      </c>
      <c r="B60" s="281"/>
      <c r="C60" s="281"/>
      <c r="D60" s="281"/>
      <c r="E60" s="281"/>
      <c r="F60" s="281"/>
      <c r="G60" s="281"/>
      <c r="H60" s="281"/>
      <c r="I60" s="129"/>
    </row>
    <row r="61" spans="1:9" ht="18" customHeight="1" outlineLevel="1" x14ac:dyDescent="0.25">
      <c r="A61" s="279" t="s">
        <v>70</v>
      </c>
      <c r="B61" s="279"/>
      <c r="C61" s="279"/>
      <c r="D61" s="279"/>
      <c r="E61" s="279"/>
      <c r="F61" s="279"/>
      <c r="G61" s="92"/>
      <c r="H61" s="10"/>
      <c r="I61" s="129"/>
    </row>
    <row r="62" spans="1:9" ht="45" customHeight="1" outlineLevel="1" x14ac:dyDescent="0.25">
      <c r="A62" s="278" t="s">
        <v>118</v>
      </c>
      <c r="B62" s="278"/>
      <c r="C62" s="278"/>
      <c r="D62" s="278"/>
      <c r="E62" s="278"/>
      <c r="F62" s="278"/>
      <c r="G62" s="92"/>
      <c r="H62" s="10"/>
      <c r="I62" s="129"/>
    </row>
    <row r="63" spans="1:9" ht="60.75" thickBot="1" x14ac:dyDescent="0.3">
      <c r="A63" s="128"/>
      <c r="B63" t="s">
        <v>71</v>
      </c>
      <c r="C63" s="11" t="s">
        <v>72</v>
      </c>
      <c r="D63" s="11" t="s">
        <v>73</v>
      </c>
      <c r="E63" s="11" t="s">
        <v>74</v>
      </c>
      <c r="F63" s="31" t="s">
        <v>75</v>
      </c>
      <c r="G63" s="10"/>
    </row>
    <row r="64" spans="1:9" ht="16.5" thickTop="1" thickBot="1" x14ac:dyDescent="0.3">
      <c r="A64" s="139" t="s">
        <v>76</v>
      </c>
      <c r="B64" s="90">
        <v>0</v>
      </c>
      <c r="C64" s="91">
        <v>0</v>
      </c>
      <c r="D64" s="91">
        <v>0</v>
      </c>
      <c r="E64" s="91">
        <v>0</v>
      </c>
      <c r="F64" s="140">
        <f>SUM(D64:E64)</f>
        <v>0</v>
      </c>
      <c r="G64" s="10"/>
    </row>
    <row r="65" spans="1:9" s="3" customFormat="1" ht="16.5" thickTop="1" thickBot="1" x14ac:dyDescent="0.3">
      <c r="A65" s="139" t="s">
        <v>77</v>
      </c>
      <c r="B65" s="90">
        <v>0</v>
      </c>
      <c r="C65" s="91">
        <v>0</v>
      </c>
      <c r="D65" s="91">
        <v>0</v>
      </c>
      <c r="E65" s="91">
        <v>0</v>
      </c>
      <c r="F65" s="140">
        <f t="shared" ref="F65:F71" si="0">SUM(D65:E65)</f>
        <v>0</v>
      </c>
      <c r="G65" s="10"/>
    </row>
    <row r="66" spans="1:9" ht="16.5" thickTop="1" thickBot="1" x14ac:dyDescent="0.3">
      <c r="A66" s="139" t="s">
        <v>78</v>
      </c>
      <c r="B66" s="90">
        <v>0</v>
      </c>
      <c r="C66" s="91">
        <v>0</v>
      </c>
      <c r="D66" s="91">
        <v>0</v>
      </c>
      <c r="E66" s="91">
        <v>0</v>
      </c>
      <c r="F66" s="140">
        <f t="shared" si="0"/>
        <v>0</v>
      </c>
      <c r="G66" s="10"/>
    </row>
    <row r="67" spans="1:9" ht="16.5" thickTop="1" thickBot="1" x14ac:dyDescent="0.3">
      <c r="A67" s="139" t="s">
        <v>79</v>
      </c>
      <c r="B67" s="90">
        <v>0</v>
      </c>
      <c r="C67" s="91">
        <v>0</v>
      </c>
      <c r="D67" s="91">
        <v>0</v>
      </c>
      <c r="E67" s="91">
        <v>0</v>
      </c>
      <c r="F67" s="140">
        <f t="shared" si="0"/>
        <v>0</v>
      </c>
      <c r="G67" s="10"/>
    </row>
    <row r="68" spans="1:9" ht="16.5" thickTop="1" thickBot="1" x14ac:dyDescent="0.3">
      <c r="A68" s="139" t="s">
        <v>80</v>
      </c>
      <c r="B68" s="90">
        <v>0</v>
      </c>
      <c r="C68" s="91">
        <v>0</v>
      </c>
      <c r="D68" s="91">
        <v>0</v>
      </c>
      <c r="E68" s="91">
        <v>0</v>
      </c>
      <c r="F68" s="140">
        <f t="shared" si="0"/>
        <v>0</v>
      </c>
      <c r="G68" s="10"/>
    </row>
    <row r="69" spans="1:9" ht="16.5" thickTop="1" thickBot="1" x14ac:dyDescent="0.3">
      <c r="A69" s="139" t="s">
        <v>81</v>
      </c>
      <c r="B69" s="90">
        <v>0</v>
      </c>
      <c r="C69" s="91">
        <v>0</v>
      </c>
      <c r="D69" s="91">
        <v>0</v>
      </c>
      <c r="E69" s="91">
        <v>0</v>
      </c>
      <c r="F69" s="140">
        <f t="shared" si="0"/>
        <v>0</v>
      </c>
      <c r="G69" s="10"/>
    </row>
    <row r="70" spans="1:9" ht="16.5" thickTop="1" thickBot="1" x14ac:dyDescent="0.3">
      <c r="A70" s="139" t="s">
        <v>82</v>
      </c>
      <c r="B70" s="90">
        <v>0</v>
      </c>
      <c r="C70" s="91">
        <v>0</v>
      </c>
      <c r="D70" s="91">
        <v>0</v>
      </c>
      <c r="E70" s="91">
        <v>0</v>
      </c>
      <c r="F70" s="140">
        <f t="shared" si="0"/>
        <v>0</v>
      </c>
      <c r="G70" s="10"/>
    </row>
    <row r="71" spans="1:9" ht="16.5" thickTop="1" thickBot="1" x14ac:dyDescent="0.3">
      <c r="A71" s="139" t="s">
        <v>83</v>
      </c>
      <c r="B71" s="90">
        <v>0</v>
      </c>
      <c r="C71" s="91">
        <v>0</v>
      </c>
      <c r="D71" s="91">
        <v>0</v>
      </c>
      <c r="E71" s="91">
        <v>0</v>
      </c>
      <c r="F71" s="140">
        <f t="shared" si="0"/>
        <v>0</v>
      </c>
      <c r="G71" s="10"/>
    </row>
    <row r="72" spans="1:9" ht="15.75" thickTop="1" x14ac:dyDescent="0.25">
      <c r="A72" s="141" t="s">
        <v>21</v>
      </c>
      <c r="C72" s="142" t="e">
        <f>SUM((C64*B64),(C65*B65),(C66*B66),(C67*B67),(C68*B68),(C69*B69),(C70*B70),(C71*B71))/(SUM(B64:B71))</f>
        <v>#DIV/0!</v>
      </c>
      <c r="D72" s="142" t="e">
        <f>SUM((D64*B64),(D65*B65),(D66*B66),(D67*B67),(D68*B68),(D69*B69),(D70*B70),(D71*B71))/(SUM(B64:B71))</f>
        <v>#DIV/0!</v>
      </c>
      <c r="E72" s="142" t="e">
        <f>SUM((E64*B64),(E65*B65),(E66*B66),(E67*B67),(E68*B68),(E69*B69),(E70*B70),(E71*B71))/(SUM(B64:B71))</f>
        <v>#DIV/0!</v>
      </c>
      <c r="F72" s="143" t="e">
        <f>SUM((F64*B64),(F65*B65),(F66*B66),(F67*B67),(F68*B68),(F69*B69),(F70*B70),(F71*B71))/(SUM(B64:B71))</f>
        <v>#DIV/0!</v>
      </c>
      <c r="G72" s="10"/>
    </row>
    <row r="73" spans="1:9" x14ac:dyDescent="0.25">
      <c r="A73" s="144"/>
      <c r="B73" s="145"/>
      <c r="C73" s="145"/>
      <c r="E73" s="10"/>
      <c r="F73" s="10"/>
      <c r="G73" s="129"/>
    </row>
    <row r="74" spans="1:9" x14ac:dyDescent="0.25">
      <c r="A74" s="279" t="s">
        <v>84</v>
      </c>
      <c r="B74" s="279"/>
      <c r="C74" s="279"/>
      <c r="D74" s="279"/>
      <c r="E74" s="279"/>
      <c r="F74" s="279"/>
      <c r="G74" s="279"/>
      <c r="H74" s="279"/>
    </row>
    <row r="75" spans="1:9" s="1" customFormat="1" ht="50.25" customHeight="1" outlineLevel="1" x14ac:dyDescent="0.25">
      <c r="A75" s="278" t="s">
        <v>119</v>
      </c>
      <c r="B75" s="278"/>
      <c r="C75" s="278"/>
      <c r="D75" s="278"/>
      <c r="E75" s="278"/>
      <c r="F75" s="278"/>
      <c r="G75" s="278"/>
      <c r="H75" s="278"/>
      <c r="I75"/>
    </row>
    <row r="76" spans="1:9" s="3" customFormat="1" ht="28.35" customHeight="1" x14ac:dyDescent="0.25">
      <c r="A76" s="131" t="s">
        <v>51</v>
      </c>
      <c r="B76" s="131" t="s">
        <v>52</v>
      </c>
      <c r="C76" s="131" t="s">
        <v>53</v>
      </c>
      <c r="D76" s="131" t="s">
        <v>54</v>
      </c>
      <c r="E76" s="131" t="s">
        <v>55</v>
      </c>
      <c r="F76" s="131" t="s">
        <v>56</v>
      </c>
      <c r="G76" s="131" t="s">
        <v>57</v>
      </c>
      <c r="H76" s="132" t="s">
        <v>20</v>
      </c>
    </row>
    <row r="77" spans="1:9" x14ac:dyDescent="0.25">
      <c r="A77" s="75"/>
      <c r="B77" s="75"/>
      <c r="C77" s="77"/>
      <c r="D77" s="78"/>
      <c r="E77" s="79"/>
      <c r="F77" s="79"/>
      <c r="G77" s="53" t="e" cm="1">
        <f t="array" ref="G77">_xlfn.IFS(RentalAssistance196873788388939810310811311812513013514014515015516053982328333843485358[[#This Row],[Unit]]="Program-wide",((_xlfn.IFS(RentalAssistance196873788388939810310811311812513013514014515015516053982328333843485358[[#This Row],[Frequency]]="Per Year",RentalAssistance196873788388939810310811311812513013514014515015516053982328333843485358[[#This Row],[Cost]]/12,RentalAssistance196873788388939810310811311812513013514014515015516053982328333843485358[[#This Row],[Frequency]]="Per month",RentalAssistance196873788388939810310811311812513013514014515015516053982328333843485358[[#This Row],[Cost]],RentalAssistance196873788388939810310811311812513013514014515015516053982328333843485358[[#This Row],[Frequency]]="Per day",RentalAssistance196873788388939810310811311812513013514014515015516053982328333843485358[[#This Row],[Cost]]*30,RentalAssistance196873788388939810310811311812513013514014515015516053982328333843485358[[#This Row],[Frequency]]="One-time",RentalAssistance196873788388939810310811311812513013514014515015516053982328333843485358[[#This Row],[Cost]]/SUM($C$18,$C$19)))/$C$17),RentalAssistance196873788388939810310811311812513013514014515015516053982328333843485358[[#This Row],[Unit]]="Per unit/space/household",(_xlfn.IFS(RentalAssistance196873788388939810310811311812513013514014515015516053982328333843485358[[#This Row],[Frequency]]="Per Year",RentalAssistance196873788388939810310811311812513013514014515015516053982328333843485358[[#This Row],[Cost]]/12,RentalAssistance196873788388939810310811311812513013514014515015516053982328333843485358[[#This Row],[Frequency]]="Per month",RentalAssistance196873788388939810310811311812513013514014515015516053982328333843485358[[#This Row],[Cost]],RentalAssistance196873788388939810310811311812513013514014515015516053982328333843485358[[#This Row],[Frequency]]="Per day",RentalAssistance196873788388939810310811311812513013514014515015516053982328333843485358[[#This Row],[Cost]]*30,RentalAssistance196873788388939810310811311812513013514014515015516053982328333843485358[[#This Row],[Frequency]]="One-time",RentalAssistance196873788388939810310811311812513013514014515015516053982328333843485358[[#This Row],[Cost]]/SUM($C$18,$C$19))))</f>
        <v>#N/A</v>
      </c>
      <c r="H77" s="46" t="e">
        <f>RentalAssistance196873788388939810310811311812513013514014515015516053982328333843485358[[#This Row],[Monthly Cost Per Unit]]*12</f>
        <v>#N/A</v>
      </c>
    </row>
    <row r="78" spans="1:9" x14ac:dyDescent="0.25">
      <c r="A78" s="75"/>
      <c r="B78" s="75"/>
      <c r="C78" s="77"/>
      <c r="D78" s="78"/>
      <c r="E78" s="79"/>
      <c r="F78" s="79"/>
      <c r="G78" s="53" t="e" cm="1">
        <f t="array" ref="G78">_xlfn.IFS(RentalAssistance196873788388939810310811311812513013514014515015516053982328333843485358[[#This Row],[Unit]]="Program-wide",((_xlfn.IFS(RentalAssistance196873788388939810310811311812513013514014515015516053982328333843485358[[#This Row],[Frequency]]="Per Year",RentalAssistance196873788388939810310811311812513013514014515015516053982328333843485358[[#This Row],[Cost]]/12,RentalAssistance196873788388939810310811311812513013514014515015516053982328333843485358[[#This Row],[Frequency]]="Per month",RentalAssistance196873788388939810310811311812513013514014515015516053982328333843485358[[#This Row],[Cost]],RentalAssistance196873788388939810310811311812513013514014515015516053982328333843485358[[#This Row],[Frequency]]="Per day",RentalAssistance196873788388939810310811311812513013514014515015516053982328333843485358[[#This Row],[Cost]]*30,RentalAssistance196873788388939810310811311812513013514014515015516053982328333843485358[[#This Row],[Frequency]]="One-time",RentalAssistance196873788388939810310811311812513013514014515015516053982328333843485358[[#This Row],[Cost]]/SUM($C$18,$C$19)))/$C$17),RentalAssistance196873788388939810310811311812513013514014515015516053982328333843485358[[#This Row],[Unit]]="Per unit/space/household",(_xlfn.IFS(RentalAssistance196873788388939810310811311812513013514014515015516053982328333843485358[[#This Row],[Frequency]]="Per Year",RentalAssistance196873788388939810310811311812513013514014515015516053982328333843485358[[#This Row],[Cost]]/12,RentalAssistance196873788388939810310811311812513013514014515015516053982328333843485358[[#This Row],[Frequency]]="Per month",RentalAssistance196873788388939810310811311812513013514014515015516053982328333843485358[[#This Row],[Cost]],RentalAssistance196873788388939810310811311812513013514014515015516053982328333843485358[[#This Row],[Frequency]]="Per day",RentalAssistance196873788388939810310811311812513013514014515015516053982328333843485358[[#This Row],[Cost]]*30,RentalAssistance196873788388939810310811311812513013514014515015516053982328333843485358[[#This Row],[Frequency]]="One-time",RentalAssistance196873788388939810310811311812513013514014515015516053982328333843485358[[#This Row],[Cost]]/SUM($C$18,$C$19))))</f>
        <v>#N/A</v>
      </c>
      <c r="H78" s="46" t="e">
        <f>RentalAssistance196873788388939810310811311812513013514014515015516053982328333843485358[[#This Row],[Monthly Cost Per Unit]]*12</f>
        <v>#N/A</v>
      </c>
    </row>
    <row r="79" spans="1:9" x14ac:dyDescent="0.25">
      <c r="A79" s="75"/>
      <c r="B79" s="75"/>
      <c r="C79" s="77"/>
      <c r="D79" s="78"/>
      <c r="E79" s="79"/>
      <c r="F79" s="79"/>
      <c r="G79" s="53" t="e" cm="1">
        <f t="array" ref="G79">_xlfn.IFS(RentalAssistance196873788388939810310811311812513013514014515015516053982328333843485358[[#This Row],[Unit]]="Program-wide",((_xlfn.IFS(RentalAssistance196873788388939810310811311812513013514014515015516053982328333843485358[[#This Row],[Frequency]]="Per Year",RentalAssistance196873788388939810310811311812513013514014515015516053982328333843485358[[#This Row],[Cost]]/12,RentalAssistance196873788388939810310811311812513013514014515015516053982328333843485358[[#This Row],[Frequency]]="Per month",RentalAssistance196873788388939810310811311812513013514014515015516053982328333843485358[[#This Row],[Cost]],RentalAssistance196873788388939810310811311812513013514014515015516053982328333843485358[[#This Row],[Frequency]]="Per day",RentalAssistance196873788388939810310811311812513013514014515015516053982328333843485358[[#This Row],[Cost]]*30,RentalAssistance196873788388939810310811311812513013514014515015516053982328333843485358[[#This Row],[Frequency]]="One-time",RentalAssistance196873788388939810310811311812513013514014515015516053982328333843485358[[#This Row],[Cost]]/SUM($C$18,$C$19)))/$C$17),RentalAssistance196873788388939810310811311812513013514014515015516053982328333843485358[[#This Row],[Unit]]="Per unit/space/household",(_xlfn.IFS(RentalAssistance196873788388939810310811311812513013514014515015516053982328333843485358[[#This Row],[Frequency]]="Per Year",RentalAssistance196873788388939810310811311812513013514014515015516053982328333843485358[[#This Row],[Cost]]/12,RentalAssistance196873788388939810310811311812513013514014515015516053982328333843485358[[#This Row],[Frequency]]="Per month",RentalAssistance196873788388939810310811311812513013514014515015516053982328333843485358[[#This Row],[Cost]],RentalAssistance196873788388939810310811311812513013514014515015516053982328333843485358[[#This Row],[Frequency]]="Per day",RentalAssistance196873788388939810310811311812513013514014515015516053982328333843485358[[#This Row],[Cost]]*30,RentalAssistance196873788388939810310811311812513013514014515015516053982328333843485358[[#This Row],[Frequency]]="One-time",RentalAssistance196873788388939810310811311812513013514014515015516053982328333843485358[[#This Row],[Cost]]/SUM($C$18,$C$19))))</f>
        <v>#N/A</v>
      </c>
      <c r="H79" s="46" t="e">
        <f>RentalAssistance196873788388939810310811311812513013514014515015516053982328333843485358[[#This Row],[Monthly Cost Per Unit]]*12</f>
        <v>#N/A</v>
      </c>
    </row>
    <row r="80" spans="1:9" x14ac:dyDescent="0.25">
      <c r="A80" s="75"/>
      <c r="B80" s="75"/>
      <c r="C80" s="77"/>
      <c r="D80" s="78"/>
      <c r="E80" s="79"/>
      <c r="F80" s="79"/>
      <c r="G80" s="53" t="e" cm="1">
        <f t="array" ref="G80">_xlfn.IFS(RentalAssistance196873788388939810310811311812513013514014515015516053982328333843485358[[#This Row],[Unit]]="Program-wide",((_xlfn.IFS(RentalAssistance196873788388939810310811311812513013514014515015516053982328333843485358[[#This Row],[Frequency]]="Per Year",RentalAssistance196873788388939810310811311812513013514014515015516053982328333843485358[[#This Row],[Cost]]/12,RentalAssistance196873788388939810310811311812513013514014515015516053982328333843485358[[#This Row],[Frequency]]="Per month",RentalAssistance196873788388939810310811311812513013514014515015516053982328333843485358[[#This Row],[Cost]],RentalAssistance196873788388939810310811311812513013514014515015516053982328333843485358[[#This Row],[Frequency]]="Per day",RentalAssistance196873788388939810310811311812513013514014515015516053982328333843485358[[#This Row],[Cost]]*30,RentalAssistance196873788388939810310811311812513013514014515015516053982328333843485358[[#This Row],[Frequency]]="One-time",RentalAssistance196873788388939810310811311812513013514014515015516053982328333843485358[[#This Row],[Cost]]/SUM($C$18,$C$19)))/$C$17),RentalAssistance196873788388939810310811311812513013514014515015516053982328333843485358[[#This Row],[Unit]]="Per unit/space/household",(_xlfn.IFS(RentalAssistance196873788388939810310811311812513013514014515015516053982328333843485358[[#This Row],[Frequency]]="Per Year",RentalAssistance196873788388939810310811311812513013514014515015516053982328333843485358[[#This Row],[Cost]]/12,RentalAssistance196873788388939810310811311812513013514014515015516053982328333843485358[[#This Row],[Frequency]]="Per month",RentalAssistance196873788388939810310811311812513013514014515015516053982328333843485358[[#This Row],[Cost]],RentalAssistance196873788388939810310811311812513013514014515015516053982328333843485358[[#This Row],[Frequency]]="Per day",RentalAssistance196873788388939810310811311812513013514014515015516053982328333843485358[[#This Row],[Cost]]*30,RentalAssistance196873788388939810310811311812513013514014515015516053982328333843485358[[#This Row],[Frequency]]="One-time",RentalAssistance196873788388939810310811311812513013514014515015516053982328333843485358[[#This Row],[Cost]]/SUM($C$18,$C$19))))</f>
        <v>#N/A</v>
      </c>
      <c r="H80" s="46" t="e">
        <f>RentalAssistance196873788388939810310811311812513013514014515015516053982328333843485358[[#This Row],[Monthly Cost Per Unit]]*12</f>
        <v>#N/A</v>
      </c>
    </row>
    <row r="81" spans="1:8" x14ac:dyDescent="0.25">
      <c r="A81" s="75"/>
      <c r="B81" s="75"/>
      <c r="C81" s="77"/>
      <c r="D81" s="78"/>
      <c r="E81" s="79"/>
      <c r="F81" s="79"/>
      <c r="G81" s="53" t="e" cm="1">
        <f t="array" ref="G81">_xlfn.IFS(RentalAssistance196873788388939810310811311812513013514014515015516053982328333843485358[[#This Row],[Unit]]="Program-wide",((_xlfn.IFS(RentalAssistance196873788388939810310811311812513013514014515015516053982328333843485358[[#This Row],[Frequency]]="Per Year",RentalAssistance196873788388939810310811311812513013514014515015516053982328333843485358[[#This Row],[Cost]]/12,RentalAssistance196873788388939810310811311812513013514014515015516053982328333843485358[[#This Row],[Frequency]]="Per month",RentalAssistance196873788388939810310811311812513013514014515015516053982328333843485358[[#This Row],[Cost]],RentalAssistance196873788388939810310811311812513013514014515015516053982328333843485358[[#This Row],[Frequency]]="Per day",RentalAssistance196873788388939810310811311812513013514014515015516053982328333843485358[[#This Row],[Cost]]*30,RentalAssistance196873788388939810310811311812513013514014515015516053982328333843485358[[#This Row],[Frequency]]="One-time",RentalAssistance196873788388939810310811311812513013514014515015516053982328333843485358[[#This Row],[Cost]]/SUM($C$18,$C$19)))/$C$17),RentalAssistance196873788388939810310811311812513013514014515015516053982328333843485358[[#This Row],[Unit]]="Per unit/space/household",(_xlfn.IFS(RentalAssistance196873788388939810310811311812513013514014515015516053982328333843485358[[#This Row],[Frequency]]="Per Year",RentalAssistance196873788388939810310811311812513013514014515015516053982328333843485358[[#This Row],[Cost]]/12,RentalAssistance196873788388939810310811311812513013514014515015516053982328333843485358[[#This Row],[Frequency]]="Per month",RentalAssistance196873788388939810310811311812513013514014515015516053982328333843485358[[#This Row],[Cost]],RentalAssistance196873788388939810310811311812513013514014515015516053982328333843485358[[#This Row],[Frequency]]="Per day",RentalAssistance196873788388939810310811311812513013514014515015516053982328333843485358[[#This Row],[Cost]]*30,RentalAssistance196873788388939810310811311812513013514014515015516053982328333843485358[[#This Row],[Frequency]]="One-time",RentalAssistance196873788388939810310811311812513013514014515015516053982328333843485358[[#This Row],[Cost]]/SUM($C$18,$C$19))))</f>
        <v>#N/A</v>
      </c>
      <c r="H81" s="46" t="e">
        <f>RentalAssistance196873788388939810310811311812513013514014515015516053982328333843485358[[#This Row],[Monthly Cost Per Unit]]*12</f>
        <v>#N/A</v>
      </c>
    </row>
    <row r="82" spans="1:8" x14ac:dyDescent="0.25">
      <c r="A82" s="75"/>
      <c r="B82" s="75"/>
      <c r="C82" s="77"/>
      <c r="D82" s="78"/>
      <c r="E82" s="79"/>
      <c r="F82" s="79"/>
      <c r="G82" s="53" t="e" cm="1">
        <f t="array" ref="G82">_xlfn.IFS(RentalAssistance196873788388939810310811311812513013514014515015516053982328333843485358[[#This Row],[Unit]]="Program-wide",((_xlfn.IFS(RentalAssistance196873788388939810310811311812513013514014515015516053982328333843485358[[#This Row],[Frequency]]="Per Year",RentalAssistance196873788388939810310811311812513013514014515015516053982328333843485358[[#This Row],[Cost]]/12,RentalAssistance196873788388939810310811311812513013514014515015516053982328333843485358[[#This Row],[Frequency]]="Per month",RentalAssistance196873788388939810310811311812513013514014515015516053982328333843485358[[#This Row],[Cost]],RentalAssistance196873788388939810310811311812513013514014515015516053982328333843485358[[#This Row],[Frequency]]="Per day",RentalAssistance196873788388939810310811311812513013514014515015516053982328333843485358[[#This Row],[Cost]]*30,RentalAssistance196873788388939810310811311812513013514014515015516053982328333843485358[[#This Row],[Frequency]]="One-time",RentalAssistance196873788388939810310811311812513013514014515015516053982328333843485358[[#This Row],[Cost]]/SUM($C$18,$C$19)))/$C$17),RentalAssistance196873788388939810310811311812513013514014515015516053982328333843485358[[#This Row],[Unit]]="Per unit/space/household",(_xlfn.IFS(RentalAssistance196873788388939810310811311812513013514014515015516053982328333843485358[[#This Row],[Frequency]]="Per Year",RentalAssistance196873788388939810310811311812513013514014515015516053982328333843485358[[#This Row],[Cost]]/12,RentalAssistance196873788388939810310811311812513013514014515015516053982328333843485358[[#This Row],[Frequency]]="Per month",RentalAssistance196873788388939810310811311812513013514014515015516053982328333843485358[[#This Row],[Cost]],RentalAssistance196873788388939810310811311812513013514014515015516053982328333843485358[[#This Row],[Frequency]]="Per day",RentalAssistance196873788388939810310811311812513013514014515015516053982328333843485358[[#This Row],[Cost]]*30,RentalAssistance196873788388939810310811311812513013514014515015516053982328333843485358[[#This Row],[Frequency]]="One-time",RentalAssistance196873788388939810310811311812513013514014515015516053982328333843485358[[#This Row],[Cost]]/SUM($C$18,$C$19))))</f>
        <v>#N/A</v>
      </c>
      <c r="H82" s="46" t="e">
        <f>RentalAssistance196873788388939810310811311812513013514014515015516053982328333843485358[[#This Row],[Monthly Cost Per Unit]]*12</f>
        <v>#N/A</v>
      </c>
    </row>
    <row r="83" spans="1:8" x14ac:dyDescent="0.25">
      <c r="A83" s="75"/>
      <c r="B83" s="75"/>
      <c r="C83" s="77"/>
      <c r="D83" s="78"/>
      <c r="E83" s="79"/>
      <c r="F83" s="79"/>
      <c r="G83" s="53" t="e" cm="1">
        <f t="array" ref="G83">_xlfn.IFS(RentalAssistance196873788388939810310811311812513013514014515015516053982328333843485358[[#This Row],[Unit]]="Program-wide",((_xlfn.IFS(RentalAssistance196873788388939810310811311812513013514014515015516053982328333843485358[[#This Row],[Frequency]]="Per Year",RentalAssistance196873788388939810310811311812513013514014515015516053982328333843485358[[#This Row],[Cost]]/12,RentalAssistance196873788388939810310811311812513013514014515015516053982328333843485358[[#This Row],[Frequency]]="Per month",RentalAssistance196873788388939810310811311812513013514014515015516053982328333843485358[[#This Row],[Cost]],RentalAssistance196873788388939810310811311812513013514014515015516053982328333843485358[[#This Row],[Frequency]]="Per day",RentalAssistance196873788388939810310811311812513013514014515015516053982328333843485358[[#This Row],[Cost]]*30,RentalAssistance196873788388939810310811311812513013514014515015516053982328333843485358[[#This Row],[Frequency]]="One-time",RentalAssistance196873788388939810310811311812513013514014515015516053982328333843485358[[#This Row],[Cost]]/SUM($C$18,$C$19)))/$C$17),RentalAssistance196873788388939810310811311812513013514014515015516053982328333843485358[[#This Row],[Unit]]="Per unit/space/household",(_xlfn.IFS(RentalAssistance196873788388939810310811311812513013514014515015516053982328333843485358[[#This Row],[Frequency]]="Per Year",RentalAssistance196873788388939810310811311812513013514014515015516053982328333843485358[[#This Row],[Cost]]/12,RentalAssistance196873788388939810310811311812513013514014515015516053982328333843485358[[#This Row],[Frequency]]="Per month",RentalAssistance196873788388939810310811311812513013514014515015516053982328333843485358[[#This Row],[Cost]],RentalAssistance196873788388939810310811311812513013514014515015516053982328333843485358[[#This Row],[Frequency]]="Per day",RentalAssistance196873788388939810310811311812513013514014515015516053982328333843485358[[#This Row],[Cost]]*30,RentalAssistance196873788388939810310811311812513013514014515015516053982328333843485358[[#This Row],[Frequency]]="One-time",RentalAssistance196873788388939810310811311812513013514014515015516053982328333843485358[[#This Row],[Cost]]/SUM($C$18,$C$19))))</f>
        <v>#N/A</v>
      </c>
      <c r="H83" s="46" t="e">
        <f>RentalAssistance196873788388939810310811311812513013514014515015516053982328333843485358[[#This Row],[Monthly Cost Per Unit]]*12</f>
        <v>#N/A</v>
      </c>
    </row>
    <row r="84" spans="1:8" x14ac:dyDescent="0.25">
      <c r="A84" s="75"/>
      <c r="B84" s="75"/>
      <c r="C84" s="77"/>
      <c r="D84" s="78"/>
      <c r="E84" s="79"/>
      <c r="F84" s="79"/>
      <c r="G84" s="53" t="e" cm="1">
        <f t="array" ref="G84">_xlfn.IFS(RentalAssistance196873788388939810310811311812513013514014515015516053982328333843485358[[#This Row],[Unit]]="Program-wide",((_xlfn.IFS(RentalAssistance196873788388939810310811311812513013514014515015516053982328333843485358[[#This Row],[Frequency]]="Per Year",RentalAssistance196873788388939810310811311812513013514014515015516053982328333843485358[[#This Row],[Cost]]/12,RentalAssistance196873788388939810310811311812513013514014515015516053982328333843485358[[#This Row],[Frequency]]="Per month",RentalAssistance196873788388939810310811311812513013514014515015516053982328333843485358[[#This Row],[Cost]],RentalAssistance196873788388939810310811311812513013514014515015516053982328333843485358[[#This Row],[Frequency]]="Per day",RentalAssistance196873788388939810310811311812513013514014515015516053982328333843485358[[#This Row],[Cost]]*30,RentalAssistance196873788388939810310811311812513013514014515015516053982328333843485358[[#This Row],[Frequency]]="One-time",RentalAssistance196873788388939810310811311812513013514014515015516053982328333843485358[[#This Row],[Cost]]/SUM($C$18,$C$19)))/$C$17),RentalAssistance196873788388939810310811311812513013514014515015516053982328333843485358[[#This Row],[Unit]]="Per unit/space/household",(_xlfn.IFS(RentalAssistance196873788388939810310811311812513013514014515015516053982328333843485358[[#This Row],[Frequency]]="Per Year",RentalAssistance196873788388939810310811311812513013514014515015516053982328333843485358[[#This Row],[Cost]]/12,RentalAssistance196873788388939810310811311812513013514014515015516053982328333843485358[[#This Row],[Frequency]]="Per month",RentalAssistance196873788388939810310811311812513013514014515015516053982328333843485358[[#This Row],[Cost]],RentalAssistance196873788388939810310811311812513013514014515015516053982328333843485358[[#This Row],[Frequency]]="Per day",RentalAssistance196873788388939810310811311812513013514014515015516053982328333843485358[[#This Row],[Cost]]*30,RentalAssistance196873788388939810310811311812513013514014515015516053982328333843485358[[#This Row],[Frequency]]="One-time",RentalAssistance196873788388939810310811311812513013514014515015516053982328333843485358[[#This Row],[Cost]]/SUM($C$18,$C$19))))</f>
        <v>#N/A</v>
      </c>
      <c r="H84" s="46" t="e">
        <f>RentalAssistance196873788388939810310811311812513013514014515015516053982328333843485358[[#This Row],[Monthly Cost Per Unit]]*12</f>
        <v>#N/A</v>
      </c>
    </row>
    <row r="85" spans="1:8" x14ac:dyDescent="0.25">
      <c r="A85" s="80"/>
      <c r="B85" s="80"/>
      <c r="C85" s="82"/>
      <c r="D85" s="83"/>
      <c r="E85" s="84"/>
      <c r="F85" s="84"/>
      <c r="G85" s="55" t="e" cm="1">
        <f t="array" ref="G85">_xlfn.IFS(RentalAssistance196873788388939810310811311812513013514014515015516053982328333843485358[[#This Row],[Unit]]="Program-wide",((_xlfn.IFS(RentalAssistance196873788388939810310811311812513013514014515015516053982328333843485358[[#This Row],[Frequency]]="Per Year",RentalAssistance196873788388939810310811311812513013514014515015516053982328333843485358[[#This Row],[Cost]]/12,RentalAssistance196873788388939810310811311812513013514014515015516053982328333843485358[[#This Row],[Frequency]]="Per month",RentalAssistance196873788388939810310811311812513013514014515015516053982328333843485358[[#This Row],[Cost]],RentalAssistance196873788388939810310811311812513013514014515015516053982328333843485358[[#This Row],[Frequency]]="Per day",RentalAssistance196873788388939810310811311812513013514014515015516053982328333843485358[[#This Row],[Cost]]*30,RentalAssistance196873788388939810310811311812513013514014515015516053982328333843485358[[#This Row],[Frequency]]="One-time",RentalAssistance196873788388939810310811311812513013514014515015516053982328333843485358[[#This Row],[Cost]]/SUM($C$18,$C$19)))/$C$17),RentalAssistance196873788388939810310811311812513013514014515015516053982328333843485358[[#This Row],[Unit]]="Per unit/space/household",(_xlfn.IFS(RentalAssistance196873788388939810310811311812513013514014515015516053982328333843485358[[#This Row],[Frequency]]="Per Year",RentalAssistance196873788388939810310811311812513013514014515015516053982328333843485358[[#This Row],[Cost]]/12,RentalAssistance196873788388939810310811311812513013514014515015516053982328333843485358[[#This Row],[Frequency]]="Per month",RentalAssistance196873788388939810310811311812513013514014515015516053982328333843485358[[#This Row],[Cost]],RentalAssistance196873788388939810310811311812513013514014515015516053982328333843485358[[#This Row],[Frequency]]="Per day",RentalAssistance196873788388939810310811311812513013514014515015516053982328333843485358[[#This Row],[Cost]]*30,RentalAssistance196873788388939810310811311812513013514014515015516053982328333843485358[[#This Row],[Frequency]]="One-time",RentalAssistance196873788388939810310811311812513013514014515015516053982328333843485358[[#This Row],[Cost]]/SUM($C$18,$C$19))))</f>
        <v>#N/A</v>
      </c>
      <c r="H85" s="46" t="e">
        <f>RentalAssistance196873788388939810310811311812513013514014515015516053982328333843485358[[#This Row],[Monthly Cost Per Unit]]*12</f>
        <v>#N/A</v>
      </c>
    </row>
    <row r="86" spans="1:8" x14ac:dyDescent="0.25">
      <c r="A86" s="107" t="s">
        <v>20</v>
      </c>
      <c r="B86" s="107"/>
      <c r="C86" s="108" t="s">
        <v>68</v>
      </c>
      <c r="D86" s="109"/>
      <c r="E86" s="108"/>
      <c r="F86" s="108"/>
      <c r="G86" s="118"/>
      <c r="H86" s="111">
        <f>(SUMIF(RentalAssistance196873788388939810310811311812513013514014515015516053982328333843485358[Duration],"While homeless only",RentalAssistance196873788388939810310811311812513013514014515015516053982328333843485358[Monthly Cost Per Unit]))*12</f>
        <v>0</v>
      </c>
    </row>
    <row r="87" spans="1:8" x14ac:dyDescent="0.25">
      <c r="A87" s="112"/>
      <c r="B87" s="112"/>
      <c r="C87" s="108" t="s">
        <v>63</v>
      </c>
      <c r="D87" s="109"/>
      <c r="E87" s="108"/>
      <c r="F87" s="108"/>
      <c r="G87" s="111"/>
      <c r="H87" s="111">
        <f>(SUMIF(RentalAssistance196873788388939810310811311812513013514014515015516053982328333843485358[Duration],"While housed only",RentalAssistance196873788388939810310811311812513013514014515015516053982328333843485358[Monthly Cost Per Unit]))*12</f>
        <v>0</v>
      </c>
    </row>
    <row r="88" spans="1:8" x14ac:dyDescent="0.25">
      <c r="A88" s="112"/>
      <c r="B88" s="112"/>
      <c r="C88" s="108" t="s">
        <v>58</v>
      </c>
      <c r="D88" s="109"/>
      <c r="E88" s="108"/>
      <c r="F88" s="108"/>
      <c r="G88" s="111"/>
      <c r="H88" s="111">
        <f>(SUMIF(RentalAssistance196873788388939810310811311812513013514014515015516053982328333843485358[Duration],"Homeless &amp; housed",RentalAssistance196873788388939810310811311812513013514014515015516053982328333843485358[Monthly Cost Per Unit]))*12</f>
        <v>0</v>
      </c>
    </row>
    <row r="89" spans="1:8" ht="15.75" thickBot="1" x14ac:dyDescent="0.3">
      <c r="A89" s="113"/>
      <c r="B89" s="113"/>
      <c r="C89" s="114" t="s">
        <v>207</v>
      </c>
      <c r="D89" s="115"/>
      <c r="E89" s="114"/>
      <c r="F89" s="114"/>
      <c r="G89" s="117"/>
      <c r="H89" s="117">
        <f>(SUMIF(RentalAssistance196873788388939810310811311812513013514014515015516053982328333843485358[Duration],"N/A",RentalAssistance196873788388939810310811311812513013514014515015516053982328333843485358[Monthly Cost Per Unit]))*12</f>
        <v>0</v>
      </c>
    </row>
    <row r="90" spans="1:8" ht="16.5" thickTop="1" thickBot="1" x14ac:dyDescent="0.3">
      <c r="A90" s="113"/>
      <c r="B90" s="113"/>
      <c r="C90" s="114" t="s">
        <v>42</v>
      </c>
      <c r="D90" s="115"/>
      <c r="E90" s="114"/>
      <c r="F90" s="114"/>
      <c r="G90" s="117"/>
      <c r="H90" s="117">
        <f>SUM(H86:H89)</f>
        <v>0</v>
      </c>
    </row>
    <row r="91" spans="1:8" ht="15.75" thickTop="1" x14ac:dyDescent="0.25">
      <c r="A91" s="146"/>
      <c r="B91" s="137"/>
      <c r="C91" s="137"/>
      <c r="D91" s="137"/>
      <c r="E91" s="137"/>
      <c r="F91" s="138"/>
      <c r="G91"/>
      <c r="H91" s="128"/>
    </row>
    <row r="92" spans="1:8" x14ac:dyDescent="0.25">
      <c r="A92" s="274" t="s">
        <v>88</v>
      </c>
      <c r="B92" s="274"/>
      <c r="C92" s="274"/>
      <c r="D92" s="274"/>
      <c r="E92" s="274"/>
      <c r="F92" s="274"/>
      <c r="G92" s="274"/>
      <c r="H92" s="274"/>
    </row>
    <row r="93" spans="1:8" ht="32.25" customHeight="1" outlineLevel="1" x14ac:dyDescent="0.25">
      <c r="A93" s="294" t="s">
        <v>89</v>
      </c>
      <c r="B93" s="294"/>
      <c r="C93" s="294"/>
      <c r="D93" s="294"/>
      <c r="E93" s="294"/>
      <c r="F93" s="294"/>
      <c r="G93" s="294"/>
      <c r="H93" s="294"/>
    </row>
    <row r="94" spans="1:8" ht="30" x14ac:dyDescent="0.25">
      <c r="A94" s="131" t="s">
        <v>51</v>
      </c>
      <c r="B94" s="131" t="s">
        <v>52</v>
      </c>
      <c r="C94" s="131" t="s">
        <v>53</v>
      </c>
      <c r="D94" s="131" t="s">
        <v>54</v>
      </c>
      <c r="E94" s="131" t="s">
        <v>55</v>
      </c>
      <c r="F94" s="131" t="s">
        <v>56</v>
      </c>
      <c r="G94" s="131" t="s">
        <v>57</v>
      </c>
      <c r="H94" s="132" t="s">
        <v>20</v>
      </c>
    </row>
    <row r="95" spans="1:8" x14ac:dyDescent="0.25">
      <c r="A95" s="75"/>
      <c r="B95" s="75"/>
      <c r="C95" s="77"/>
      <c r="D95" s="78"/>
      <c r="E95" s="79"/>
      <c r="F95" s="76"/>
      <c r="G95" s="53" t="e" cm="1">
        <f t="array" ref="G95">_xlfn.IFS(Services1106974798489949910410911411912613113614114615115616154992429343944495459[[#This Row],[Unit]]="Program-wide",((_xlfn.IFS(Services1106974798489949910410911411912613113614114615115616154992429343944495459[[#This Row],[Frequency]]="Per Year",Services1106974798489949910410911411912613113614114615115616154992429343944495459[[#This Row],[Cost]]/12,Services1106974798489949910410911411912613113614114615115616154992429343944495459[[#This Row],[Frequency]]="Per month",Services1106974798489949910410911411912613113614114615115616154992429343944495459[[#This Row],[Cost]],Services1106974798489949910410911411912613113614114615115616154992429343944495459[[#This Row],[Frequency]]="Per day",Services1106974798489949910410911411912613113614114615115616154992429343944495459[[#This Row],[Cost]]*30,Services1106974798489949910410911411912613113614114615115616154992429343944495459[[#This Row],[Frequency]]="One-time",Services1106974798489949910410911411912613113614114615115616154992429343944495459[[#This Row],[Cost]]/SUM($C$18,$C$19)))/$C$17),Services1106974798489949910410911411912613113614114615115616154992429343944495459[[#This Row],[Unit]]="Per unit/space/household",(_xlfn.IFS(Services1106974798489949910410911411912613113614114615115616154992429343944495459[[#This Row],[Frequency]]="Per Year",Services1106974798489949910410911411912613113614114615115616154992429343944495459[[#This Row],[Cost]]/12,Services1106974798489949910410911411912613113614114615115616154992429343944495459[[#This Row],[Frequency]]="Per month",Services1106974798489949910410911411912613113614114615115616154992429343944495459[[#This Row],[Cost]],Services1106974798489949910410911411912613113614114615115616154992429343944495459[[#This Row],[Frequency]]="Per day",Services1106974798489949910410911411912613113614114615115616154992429343944495459[[#This Row],[Cost]]*30,Services1106974798489949910410911411912613113614114615115616154992429343944495459[[#This Row],[Frequency]]="One-time",Services1106974798489949910410911411912613113614114615115616154992429343944495459[[#This Row],[Cost]]/SUM($C$18,$C$19))))</f>
        <v>#N/A</v>
      </c>
      <c r="H95" s="46" t="e">
        <f>Services1106974798489949910410911411912613113614114615115616154992429343944495459[[#This Row],[Monthly Cost Per Unit]]*12</f>
        <v>#N/A</v>
      </c>
    </row>
    <row r="96" spans="1:8" x14ac:dyDescent="0.25">
      <c r="A96" s="75"/>
      <c r="B96" s="75"/>
      <c r="C96" s="77"/>
      <c r="D96" s="78"/>
      <c r="E96" s="79"/>
      <c r="F96" s="76"/>
      <c r="G96" s="53" t="e" cm="1">
        <f t="array" ref="G96">_xlfn.IFS(Services1106974798489949910410911411912613113614114615115616154992429343944495459[[#This Row],[Unit]]="Program-wide",((_xlfn.IFS(Services1106974798489949910410911411912613113614114615115616154992429343944495459[[#This Row],[Frequency]]="Per Year",Services1106974798489949910410911411912613113614114615115616154992429343944495459[[#This Row],[Cost]]/12,Services1106974798489949910410911411912613113614114615115616154992429343944495459[[#This Row],[Frequency]]="Per month",Services1106974798489949910410911411912613113614114615115616154992429343944495459[[#This Row],[Cost]],Services1106974798489949910410911411912613113614114615115616154992429343944495459[[#This Row],[Frequency]]="Per day",Services1106974798489949910410911411912613113614114615115616154992429343944495459[[#This Row],[Cost]]*30,Services1106974798489949910410911411912613113614114615115616154992429343944495459[[#This Row],[Frequency]]="One-time",Services1106974798489949910410911411912613113614114615115616154992429343944495459[[#This Row],[Cost]]/SUM($C$18,$C$19)))/$C$17),Services1106974798489949910410911411912613113614114615115616154992429343944495459[[#This Row],[Unit]]="Per unit/space/household",(_xlfn.IFS(Services1106974798489949910410911411912613113614114615115616154992429343944495459[[#This Row],[Frequency]]="Per Year",Services1106974798489949910410911411912613113614114615115616154992429343944495459[[#This Row],[Cost]]/12,Services1106974798489949910410911411912613113614114615115616154992429343944495459[[#This Row],[Frequency]]="Per month",Services1106974798489949910410911411912613113614114615115616154992429343944495459[[#This Row],[Cost]],Services1106974798489949910410911411912613113614114615115616154992429343944495459[[#This Row],[Frequency]]="Per day",Services1106974798489949910410911411912613113614114615115616154992429343944495459[[#This Row],[Cost]]*30,Services1106974798489949910410911411912613113614114615115616154992429343944495459[[#This Row],[Frequency]]="One-time",Services1106974798489949910410911411912613113614114615115616154992429343944495459[[#This Row],[Cost]]/SUM($C$18,$C$19))))</f>
        <v>#N/A</v>
      </c>
      <c r="H96" s="46" t="e">
        <f>Services1106974798489949910410911411912613113614114615115616154992429343944495459[[#This Row],[Monthly Cost Per Unit]]*12</f>
        <v>#N/A</v>
      </c>
    </row>
    <row r="97" spans="1:8" x14ac:dyDescent="0.25">
      <c r="A97" s="75"/>
      <c r="B97" s="75"/>
      <c r="C97" s="77"/>
      <c r="D97" s="78"/>
      <c r="E97" s="79"/>
      <c r="F97" s="76"/>
      <c r="G97" s="53" t="e" cm="1">
        <f t="array" ref="G97">_xlfn.IFS(Services1106974798489949910410911411912613113614114615115616154992429343944495459[[#This Row],[Unit]]="Program-wide",((_xlfn.IFS(Services1106974798489949910410911411912613113614114615115616154992429343944495459[[#This Row],[Frequency]]="Per Year",Services1106974798489949910410911411912613113614114615115616154992429343944495459[[#This Row],[Cost]]/12,Services1106974798489949910410911411912613113614114615115616154992429343944495459[[#This Row],[Frequency]]="Per month",Services1106974798489949910410911411912613113614114615115616154992429343944495459[[#This Row],[Cost]],Services1106974798489949910410911411912613113614114615115616154992429343944495459[[#This Row],[Frequency]]="Per day",Services1106974798489949910410911411912613113614114615115616154992429343944495459[[#This Row],[Cost]]*30,Services1106974798489949910410911411912613113614114615115616154992429343944495459[[#This Row],[Frequency]]="One-time",Services1106974798489949910410911411912613113614114615115616154992429343944495459[[#This Row],[Cost]]/SUM($C$18,$C$19)))/$C$17),Services1106974798489949910410911411912613113614114615115616154992429343944495459[[#This Row],[Unit]]="Per unit/space/household",(_xlfn.IFS(Services1106974798489949910410911411912613113614114615115616154992429343944495459[[#This Row],[Frequency]]="Per Year",Services1106974798489949910410911411912613113614114615115616154992429343944495459[[#This Row],[Cost]]/12,Services1106974798489949910410911411912613113614114615115616154992429343944495459[[#This Row],[Frequency]]="Per month",Services1106974798489949910410911411912613113614114615115616154992429343944495459[[#This Row],[Cost]],Services1106974798489949910410911411912613113614114615115616154992429343944495459[[#This Row],[Frequency]]="Per day",Services1106974798489949910410911411912613113614114615115616154992429343944495459[[#This Row],[Cost]]*30,Services1106974798489949910410911411912613113614114615115616154992429343944495459[[#This Row],[Frequency]]="One-time",Services1106974798489949910410911411912613113614114615115616154992429343944495459[[#This Row],[Cost]]/SUM($C$18,$C$19))))</f>
        <v>#N/A</v>
      </c>
      <c r="H97" s="46" t="e">
        <f>Services1106974798489949910410911411912613113614114615115616154992429343944495459[[#This Row],[Monthly Cost Per Unit]]*12</f>
        <v>#N/A</v>
      </c>
    </row>
    <row r="98" spans="1:8" x14ac:dyDescent="0.25">
      <c r="A98" s="75"/>
      <c r="B98" s="75"/>
      <c r="C98" s="77"/>
      <c r="D98" s="78"/>
      <c r="E98" s="79"/>
      <c r="F98" s="76"/>
      <c r="G98" s="53" t="e" cm="1">
        <f t="array" ref="G98">_xlfn.IFS(Services1106974798489949910410911411912613113614114615115616154992429343944495459[[#This Row],[Unit]]="Program-wide",((_xlfn.IFS(Services1106974798489949910410911411912613113614114615115616154992429343944495459[[#This Row],[Frequency]]="Per Year",Services1106974798489949910410911411912613113614114615115616154992429343944495459[[#This Row],[Cost]]/12,Services1106974798489949910410911411912613113614114615115616154992429343944495459[[#This Row],[Frequency]]="Per month",Services1106974798489949910410911411912613113614114615115616154992429343944495459[[#This Row],[Cost]],Services1106974798489949910410911411912613113614114615115616154992429343944495459[[#This Row],[Frequency]]="Per day",Services1106974798489949910410911411912613113614114615115616154992429343944495459[[#This Row],[Cost]]*30,Services1106974798489949910410911411912613113614114615115616154992429343944495459[[#This Row],[Frequency]]="One-time",Services1106974798489949910410911411912613113614114615115616154992429343944495459[[#This Row],[Cost]]/SUM($C$18,$C$19)))/$C$17),Services1106974798489949910410911411912613113614114615115616154992429343944495459[[#This Row],[Unit]]="Per unit/space/household",(_xlfn.IFS(Services1106974798489949910410911411912613113614114615115616154992429343944495459[[#This Row],[Frequency]]="Per Year",Services1106974798489949910410911411912613113614114615115616154992429343944495459[[#This Row],[Cost]]/12,Services1106974798489949910410911411912613113614114615115616154992429343944495459[[#This Row],[Frequency]]="Per month",Services1106974798489949910410911411912613113614114615115616154992429343944495459[[#This Row],[Cost]],Services1106974798489949910410911411912613113614114615115616154992429343944495459[[#This Row],[Frequency]]="Per day",Services1106974798489949910410911411912613113614114615115616154992429343944495459[[#This Row],[Cost]]*30,Services1106974798489949910410911411912613113614114615115616154992429343944495459[[#This Row],[Frequency]]="One-time",Services1106974798489949910410911411912613113614114615115616154992429343944495459[[#This Row],[Cost]]/SUM($C$18,$C$19))))</f>
        <v>#N/A</v>
      </c>
      <c r="H98" s="46" t="e">
        <f>Services1106974798489949910410911411912613113614114615115616154992429343944495459[[#This Row],[Monthly Cost Per Unit]]*12</f>
        <v>#N/A</v>
      </c>
    </row>
    <row r="99" spans="1:8" x14ac:dyDescent="0.25">
      <c r="A99" s="75"/>
      <c r="B99" s="75"/>
      <c r="C99" s="77"/>
      <c r="D99" s="78"/>
      <c r="E99" s="79"/>
      <c r="F99" s="76"/>
      <c r="G99" s="53" t="e" cm="1">
        <f t="array" ref="G99">_xlfn.IFS(Services1106974798489949910410911411912613113614114615115616154992429343944495459[[#This Row],[Unit]]="Program-wide",((_xlfn.IFS(Services1106974798489949910410911411912613113614114615115616154992429343944495459[[#This Row],[Frequency]]="Per Year",Services1106974798489949910410911411912613113614114615115616154992429343944495459[[#This Row],[Cost]]/12,Services1106974798489949910410911411912613113614114615115616154992429343944495459[[#This Row],[Frequency]]="Per month",Services1106974798489949910410911411912613113614114615115616154992429343944495459[[#This Row],[Cost]],Services1106974798489949910410911411912613113614114615115616154992429343944495459[[#This Row],[Frequency]]="Per day",Services1106974798489949910410911411912613113614114615115616154992429343944495459[[#This Row],[Cost]]*30,Services1106974798489949910410911411912613113614114615115616154992429343944495459[[#This Row],[Frequency]]="One-time",Services1106974798489949910410911411912613113614114615115616154992429343944495459[[#This Row],[Cost]]/SUM($C$18,$C$19)))/$C$17),Services1106974798489949910410911411912613113614114615115616154992429343944495459[[#This Row],[Unit]]="Per unit/space/household",(_xlfn.IFS(Services1106974798489949910410911411912613113614114615115616154992429343944495459[[#This Row],[Frequency]]="Per Year",Services1106974798489949910410911411912613113614114615115616154992429343944495459[[#This Row],[Cost]]/12,Services1106974798489949910410911411912613113614114615115616154992429343944495459[[#This Row],[Frequency]]="Per month",Services1106974798489949910410911411912613113614114615115616154992429343944495459[[#This Row],[Cost]],Services1106974798489949910410911411912613113614114615115616154992429343944495459[[#This Row],[Frequency]]="Per day",Services1106974798489949910410911411912613113614114615115616154992429343944495459[[#This Row],[Cost]]*30,Services1106974798489949910410911411912613113614114615115616154992429343944495459[[#This Row],[Frequency]]="One-time",Services1106974798489949910410911411912613113614114615115616154992429343944495459[[#This Row],[Cost]]/SUM($C$18,$C$19))))</f>
        <v>#N/A</v>
      </c>
      <c r="H99" s="46" t="e">
        <f>Services1106974798489949910410911411912613113614114615115616154992429343944495459[[#This Row],[Monthly Cost Per Unit]]*12</f>
        <v>#N/A</v>
      </c>
    </row>
    <row r="100" spans="1:8" x14ac:dyDescent="0.25">
      <c r="A100" s="75"/>
      <c r="B100" s="75"/>
      <c r="C100" s="77"/>
      <c r="D100" s="78"/>
      <c r="E100" s="79"/>
      <c r="F100" s="76"/>
      <c r="G100" s="53" t="e" cm="1">
        <f t="array" ref="G100">_xlfn.IFS(Services1106974798489949910410911411912613113614114615115616154992429343944495459[[#This Row],[Unit]]="Program-wide",((_xlfn.IFS(Services1106974798489949910410911411912613113614114615115616154992429343944495459[[#This Row],[Frequency]]="Per Year",Services1106974798489949910410911411912613113614114615115616154992429343944495459[[#This Row],[Cost]]/12,Services1106974798489949910410911411912613113614114615115616154992429343944495459[[#This Row],[Frequency]]="Per month",Services1106974798489949910410911411912613113614114615115616154992429343944495459[[#This Row],[Cost]],Services1106974798489949910410911411912613113614114615115616154992429343944495459[[#This Row],[Frequency]]="Per day",Services1106974798489949910410911411912613113614114615115616154992429343944495459[[#This Row],[Cost]]*30,Services1106974798489949910410911411912613113614114615115616154992429343944495459[[#This Row],[Frequency]]="One-time",Services1106974798489949910410911411912613113614114615115616154992429343944495459[[#This Row],[Cost]]/SUM($C$18,$C$19)))/$C$17),Services1106974798489949910410911411912613113614114615115616154992429343944495459[[#This Row],[Unit]]="Per unit/space/household",(_xlfn.IFS(Services1106974798489949910410911411912613113614114615115616154992429343944495459[[#This Row],[Frequency]]="Per Year",Services1106974798489949910410911411912613113614114615115616154992429343944495459[[#This Row],[Cost]]/12,Services1106974798489949910410911411912613113614114615115616154992429343944495459[[#This Row],[Frequency]]="Per month",Services1106974798489949910410911411912613113614114615115616154992429343944495459[[#This Row],[Cost]],Services1106974798489949910410911411912613113614114615115616154992429343944495459[[#This Row],[Frequency]]="Per day",Services1106974798489949910410911411912613113614114615115616154992429343944495459[[#This Row],[Cost]]*30,Services1106974798489949910410911411912613113614114615115616154992429343944495459[[#This Row],[Frequency]]="One-time",Services1106974798489949910410911411912613113614114615115616154992429343944495459[[#This Row],[Cost]]/SUM($C$18,$C$19))))</f>
        <v>#N/A</v>
      </c>
      <c r="H100" s="46" t="e">
        <f>Services1106974798489949910410911411912613113614114615115616154992429343944495459[[#This Row],[Monthly Cost Per Unit]]*12</f>
        <v>#N/A</v>
      </c>
    </row>
    <row r="101" spans="1:8" x14ac:dyDescent="0.25">
      <c r="A101" s="75"/>
      <c r="B101" s="75"/>
      <c r="C101" s="77"/>
      <c r="D101" s="78"/>
      <c r="E101" s="79"/>
      <c r="F101" s="76"/>
      <c r="G101" s="53" t="e" cm="1">
        <f t="array" ref="G101">_xlfn.IFS(Services1106974798489949910410911411912613113614114615115616154992429343944495459[[#This Row],[Unit]]="Program-wide",((_xlfn.IFS(Services1106974798489949910410911411912613113614114615115616154992429343944495459[[#This Row],[Frequency]]="Per Year",Services1106974798489949910410911411912613113614114615115616154992429343944495459[[#This Row],[Cost]]/12,Services1106974798489949910410911411912613113614114615115616154992429343944495459[[#This Row],[Frequency]]="Per month",Services1106974798489949910410911411912613113614114615115616154992429343944495459[[#This Row],[Cost]],Services1106974798489949910410911411912613113614114615115616154992429343944495459[[#This Row],[Frequency]]="Per day",Services1106974798489949910410911411912613113614114615115616154992429343944495459[[#This Row],[Cost]]*30,Services1106974798489949910410911411912613113614114615115616154992429343944495459[[#This Row],[Frequency]]="One-time",Services1106974798489949910410911411912613113614114615115616154992429343944495459[[#This Row],[Cost]]/SUM($C$18,$C$19)))/$C$17),Services1106974798489949910410911411912613113614114615115616154992429343944495459[[#This Row],[Unit]]="Per unit/space/household",(_xlfn.IFS(Services1106974798489949910410911411912613113614114615115616154992429343944495459[[#This Row],[Frequency]]="Per Year",Services1106974798489949910410911411912613113614114615115616154992429343944495459[[#This Row],[Cost]]/12,Services1106974798489949910410911411912613113614114615115616154992429343944495459[[#This Row],[Frequency]]="Per month",Services1106974798489949910410911411912613113614114615115616154992429343944495459[[#This Row],[Cost]],Services1106974798489949910410911411912613113614114615115616154992429343944495459[[#This Row],[Frequency]]="Per day",Services1106974798489949910410911411912613113614114615115616154992429343944495459[[#This Row],[Cost]]*30,Services1106974798489949910410911411912613113614114615115616154992429343944495459[[#This Row],[Frequency]]="One-time",Services1106974798489949910410911411912613113614114615115616154992429343944495459[[#This Row],[Cost]]/SUM($C$18,$C$19))))</f>
        <v>#N/A</v>
      </c>
      <c r="H101" s="46" t="e">
        <f>Services1106974798489949910410911411912613113614114615115616154992429343944495459[[#This Row],[Monthly Cost Per Unit]]*12</f>
        <v>#N/A</v>
      </c>
    </row>
    <row r="102" spans="1:8" x14ac:dyDescent="0.25">
      <c r="A102" s="75"/>
      <c r="B102" s="75"/>
      <c r="C102" s="77"/>
      <c r="D102" s="78"/>
      <c r="E102" s="79"/>
      <c r="F102" s="76"/>
      <c r="G102" s="53" t="e" cm="1">
        <f t="array" ref="G102">_xlfn.IFS(Services1106974798489949910410911411912613113614114615115616154992429343944495459[[#This Row],[Unit]]="Program-wide",((_xlfn.IFS(Services1106974798489949910410911411912613113614114615115616154992429343944495459[[#This Row],[Frequency]]="Per Year",Services1106974798489949910410911411912613113614114615115616154992429343944495459[[#This Row],[Cost]]/12,Services1106974798489949910410911411912613113614114615115616154992429343944495459[[#This Row],[Frequency]]="Per month",Services1106974798489949910410911411912613113614114615115616154992429343944495459[[#This Row],[Cost]],Services1106974798489949910410911411912613113614114615115616154992429343944495459[[#This Row],[Frequency]]="Per day",Services1106974798489949910410911411912613113614114615115616154992429343944495459[[#This Row],[Cost]]*30,Services1106974798489949910410911411912613113614114615115616154992429343944495459[[#This Row],[Frequency]]="One-time",Services1106974798489949910410911411912613113614114615115616154992429343944495459[[#This Row],[Cost]]/SUM($C$18,$C$19)))/$C$17),Services1106974798489949910410911411912613113614114615115616154992429343944495459[[#This Row],[Unit]]="Per unit/space/household",(_xlfn.IFS(Services1106974798489949910410911411912613113614114615115616154992429343944495459[[#This Row],[Frequency]]="Per Year",Services1106974798489949910410911411912613113614114615115616154992429343944495459[[#This Row],[Cost]]/12,Services1106974798489949910410911411912613113614114615115616154992429343944495459[[#This Row],[Frequency]]="Per month",Services1106974798489949910410911411912613113614114615115616154992429343944495459[[#This Row],[Cost]],Services1106974798489949910410911411912613113614114615115616154992429343944495459[[#This Row],[Frequency]]="Per day",Services1106974798489949910410911411912613113614114615115616154992429343944495459[[#This Row],[Cost]]*30,Services1106974798489949910410911411912613113614114615115616154992429343944495459[[#This Row],[Frequency]]="One-time",Services1106974798489949910410911411912613113614114615115616154992429343944495459[[#This Row],[Cost]]/SUM($C$18,$C$19))))</f>
        <v>#N/A</v>
      </c>
      <c r="H102" s="46" t="e">
        <f>Services1106974798489949910410911411912613113614114615115616154992429343944495459[[#This Row],[Monthly Cost Per Unit]]*12</f>
        <v>#N/A</v>
      </c>
    </row>
    <row r="103" spans="1:8" x14ac:dyDescent="0.25">
      <c r="A103" s="75"/>
      <c r="B103" s="75"/>
      <c r="C103" s="77"/>
      <c r="D103" s="78"/>
      <c r="E103" s="79"/>
      <c r="F103" s="76"/>
      <c r="G103" s="53" t="e" cm="1">
        <f t="array" ref="G103">_xlfn.IFS(Services1106974798489949910410911411912613113614114615115616154992429343944495459[[#This Row],[Unit]]="Program-wide",((_xlfn.IFS(Services1106974798489949910410911411912613113614114615115616154992429343944495459[[#This Row],[Frequency]]="Per Year",Services1106974798489949910410911411912613113614114615115616154992429343944495459[[#This Row],[Cost]]/12,Services1106974798489949910410911411912613113614114615115616154992429343944495459[[#This Row],[Frequency]]="Per month",Services1106974798489949910410911411912613113614114615115616154992429343944495459[[#This Row],[Cost]],Services1106974798489949910410911411912613113614114615115616154992429343944495459[[#This Row],[Frequency]]="Per day",Services1106974798489949910410911411912613113614114615115616154992429343944495459[[#This Row],[Cost]]*30,Services1106974798489949910410911411912613113614114615115616154992429343944495459[[#This Row],[Frequency]]="One-time",Services1106974798489949910410911411912613113614114615115616154992429343944495459[[#This Row],[Cost]]/SUM($C$18,$C$19)))/$C$17),Services1106974798489949910410911411912613113614114615115616154992429343944495459[[#This Row],[Unit]]="Per unit/space/household",(_xlfn.IFS(Services1106974798489949910410911411912613113614114615115616154992429343944495459[[#This Row],[Frequency]]="Per Year",Services1106974798489949910410911411912613113614114615115616154992429343944495459[[#This Row],[Cost]]/12,Services1106974798489949910410911411912613113614114615115616154992429343944495459[[#This Row],[Frequency]]="Per month",Services1106974798489949910410911411912613113614114615115616154992429343944495459[[#This Row],[Cost]],Services1106974798489949910410911411912613113614114615115616154992429343944495459[[#This Row],[Frequency]]="Per day",Services1106974798489949910410911411912613113614114615115616154992429343944495459[[#This Row],[Cost]]*30,Services1106974798489949910410911411912613113614114615115616154992429343944495459[[#This Row],[Frequency]]="One-time",Services1106974798489949910410911411912613113614114615115616154992429343944495459[[#This Row],[Cost]]/SUM($C$18,$C$19))))</f>
        <v>#N/A</v>
      </c>
      <c r="H103" s="46" t="e">
        <f>Services1106974798489949910410911411912613113614114615115616154992429343944495459[[#This Row],[Monthly Cost Per Unit]]*12</f>
        <v>#N/A</v>
      </c>
    </row>
    <row r="104" spans="1:8" x14ac:dyDescent="0.25">
      <c r="A104" s="75"/>
      <c r="B104" s="75"/>
      <c r="C104" s="77"/>
      <c r="D104" s="78"/>
      <c r="E104" s="79"/>
      <c r="F104" s="76"/>
      <c r="G104" s="53" t="e" cm="1">
        <f t="array" ref="G104">_xlfn.IFS(Services1106974798489949910410911411912613113614114615115616154992429343944495459[[#This Row],[Unit]]="Program-wide",((_xlfn.IFS(Services1106974798489949910410911411912613113614114615115616154992429343944495459[[#This Row],[Frequency]]="Per Year",Services1106974798489949910410911411912613113614114615115616154992429343944495459[[#This Row],[Cost]]/12,Services1106974798489949910410911411912613113614114615115616154992429343944495459[[#This Row],[Frequency]]="Per month",Services1106974798489949910410911411912613113614114615115616154992429343944495459[[#This Row],[Cost]],Services1106974798489949910410911411912613113614114615115616154992429343944495459[[#This Row],[Frequency]]="Per day",Services1106974798489949910410911411912613113614114615115616154992429343944495459[[#This Row],[Cost]]*30,Services1106974798489949910410911411912613113614114615115616154992429343944495459[[#This Row],[Frequency]]="One-time",Services1106974798489949910410911411912613113614114615115616154992429343944495459[[#This Row],[Cost]]/SUM($C$18,$C$19)))/$C$17),Services1106974798489949910410911411912613113614114615115616154992429343944495459[[#This Row],[Unit]]="Per unit/space/household",(_xlfn.IFS(Services1106974798489949910410911411912613113614114615115616154992429343944495459[[#This Row],[Frequency]]="Per Year",Services1106974798489949910410911411912613113614114615115616154992429343944495459[[#This Row],[Cost]]/12,Services1106974798489949910410911411912613113614114615115616154992429343944495459[[#This Row],[Frequency]]="Per month",Services1106974798489949910410911411912613113614114615115616154992429343944495459[[#This Row],[Cost]],Services1106974798489949910410911411912613113614114615115616154992429343944495459[[#This Row],[Frequency]]="Per day",Services1106974798489949910410911411912613113614114615115616154992429343944495459[[#This Row],[Cost]]*30,Services1106974798489949910410911411912613113614114615115616154992429343944495459[[#This Row],[Frequency]]="One-time",Services1106974798489949910410911411912613113614114615115616154992429343944495459[[#This Row],[Cost]]/SUM($C$18,$C$19))))</f>
        <v>#N/A</v>
      </c>
      <c r="H104" s="46" t="e">
        <f>Services1106974798489949910410911411912613113614114615115616154992429343944495459[[#This Row],[Monthly Cost Per Unit]]*12</f>
        <v>#N/A</v>
      </c>
    </row>
    <row r="105" spans="1:8" x14ac:dyDescent="0.25">
      <c r="A105" s="75"/>
      <c r="B105" s="75"/>
      <c r="C105" s="77"/>
      <c r="D105" s="78"/>
      <c r="E105" s="79"/>
      <c r="F105" s="76"/>
      <c r="G105" s="53" t="e" cm="1">
        <f t="array" ref="G105">_xlfn.IFS(Services1106974798489949910410911411912613113614114615115616154992429343944495459[[#This Row],[Unit]]="Program-wide",((_xlfn.IFS(Services1106974798489949910410911411912613113614114615115616154992429343944495459[[#This Row],[Frequency]]="Per Year",Services1106974798489949910410911411912613113614114615115616154992429343944495459[[#This Row],[Cost]]/12,Services1106974798489949910410911411912613113614114615115616154992429343944495459[[#This Row],[Frequency]]="Per month",Services1106974798489949910410911411912613113614114615115616154992429343944495459[[#This Row],[Cost]],Services1106974798489949910410911411912613113614114615115616154992429343944495459[[#This Row],[Frequency]]="Per day",Services1106974798489949910410911411912613113614114615115616154992429343944495459[[#This Row],[Cost]]*30,Services1106974798489949910410911411912613113614114615115616154992429343944495459[[#This Row],[Frequency]]="One-time",Services1106974798489949910410911411912613113614114615115616154992429343944495459[[#This Row],[Cost]]/SUM($C$18,$C$19)))/$C$17),Services1106974798489949910410911411912613113614114615115616154992429343944495459[[#This Row],[Unit]]="Per unit/space/household",(_xlfn.IFS(Services1106974798489949910410911411912613113614114615115616154992429343944495459[[#This Row],[Frequency]]="Per Year",Services1106974798489949910410911411912613113614114615115616154992429343944495459[[#This Row],[Cost]]/12,Services1106974798489949910410911411912613113614114615115616154992429343944495459[[#This Row],[Frequency]]="Per month",Services1106974798489949910410911411912613113614114615115616154992429343944495459[[#This Row],[Cost]],Services1106974798489949910410911411912613113614114615115616154992429343944495459[[#This Row],[Frequency]]="Per day",Services1106974798489949910410911411912613113614114615115616154992429343944495459[[#This Row],[Cost]]*30,Services1106974798489949910410911411912613113614114615115616154992429343944495459[[#This Row],[Frequency]]="One-time",Services1106974798489949910410911411912613113614114615115616154992429343944495459[[#This Row],[Cost]]/SUM($C$18,$C$19))))</f>
        <v>#N/A</v>
      </c>
      <c r="H105" s="46" t="e">
        <f>Services1106974798489949910410911411912613113614114615115616154992429343944495459[[#This Row],[Monthly Cost Per Unit]]*12</f>
        <v>#N/A</v>
      </c>
    </row>
    <row r="106" spans="1:8" x14ac:dyDescent="0.25">
      <c r="A106" s="75"/>
      <c r="B106" s="75"/>
      <c r="C106" s="77"/>
      <c r="D106" s="78"/>
      <c r="E106" s="79"/>
      <c r="F106" s="76"/>
      <c r="G106" s="53" t="e" cm="1">
        <f t="array" ref="G106">_xlfn.IFS(Services1106974798489949910410911411912613113614114615115616154992429343944495459[[#This Row],[Unit]]="Program-wide",((_xlfn.IFS(Services1106974798489949910410911411912613113614114615115616154992429343944495459[[#This Row],[Frequency]]="Per Year",Services1106974798489949910410911411912613113614114615115616154992429343944495459[[#This Row],[Cost]]/12,Services1106974798489949910410911411912613113614114615115616154992429343944495459[[#This Row],[Frequency]]="Per month",Services1106974798489949910410911411912613113614114615115616154992429343944495459[[#This Row],[Cost]],Services1106974798489949910410911411912613113614114615115616154992429343944495459[[#This Row],[Frequency]]="Per day",Services1106974798489949910410911411912613113614114615115616154992429343944495459[[#This Row],[Cost]]*30,Services1106974798489949910410911411912613113614114615115616154992429343944495459[[#This Row],[Frequency]]="One-time",Services1106974798489949910410911411912613113614114615115616154992429343944495459[[#This Row],[Cost]]/SUM($C$18,$C$19)))/$C$17),Services1106974798489949910410911411912613113614114615115616154992429343944495459[[#This Row],[Unit]]="Per unit/space/household",(_xlfn.IFS(Services1106974798489949910410911411912613113614114615115616154992429343944495459[[#This Row],[Frequency]]="Per Year",Services1106974798489949910410911411912613113614114615115616154992429343944495459[[#This Row],[Cost]]/12,Services1106974798489949910410911411912613113614114615115616154992429343944495459[[#This Row],[Frequency]]="Per month",Services1106974798489949910410911411912613113614114615115616154992429343944495459[[#This Row],[Cost]],Services1106974798489949910410911411912613113614114615115616154992429343944495459[[#This Row],[Frequency]]="Per day",Services1106974798489949910410911411912613113614114615115616154992429343944495459[[#This Row],[Cost]]*30,Services1106974798489949910410911411912613113614114615115616154992429343944495459[[#This Row],[Frequency]]="One-time",Services1106974798489949910410911411912613113614114615115616154992429343944495459[[#This Row],[Cost]]/SUM($C$18,$C$19))))</f>
        <v>#N/A</v>
      </c>
      <c r="H106" s="46" t="e">
        <f>Services1106974798489949910410911411912613113614114615115616154992429343944495459[[#This Row],[Monthly Cost Per Unit]]*12</f>
        <v>#N/A</v>
      </c>
    </row>
    <row r="107" spans="1:8" x14ac:dyDescent="0.25">
      <c r="A107" s="80"/>
      <c r="B107" s="80"/>
      <c r="C107" s="82"/>
      <c r="D107" s="83"/>
      <c r="E107" s="84"/>
      <c r="F107" s="81"/>
      <c r="G107" s="55" t="e" cm="1">
        <f t="array" ref="G107">_xlfn.IFS(Services1106974798489949910410911411912613113614114615115616154992429343944495459[[#This Row],[Unit]]="Program-wide",((_xlfn.IFS(Services1106974798489949910410911411912613113614114615115616154992429343944495459[[#This Row],[Frequency]]="Per Year",Services1106974798489949910410911411912613113614114615115616154992429343944495459[[#This Row],[Cost]]/12,Services1106974798489949910410911411912613113614114615115616154992429343944495459[[#This Row],[Frequency]]="Per month",Services1106974798489949910410911411912613113614114615115616154992429343944495459[[#This Row],[Cost]],Services1106974798489949910410911411912613113614114615115616154992429343944495459[[#This Row],[Frequency]]="Per day",Services1106974798489949910410911411912613113614114615115616154992429343944495459[[#This Row],[Cost]]*30,Services1106974798489949910410911411912613113614114615115616154992429343944495459[[#This Row],[Frequency]]="One-time",Services1106974798489949910410911411912613113614114615115616154992429343944495459[[#This Row],[Cost]]/SUM($C$18,$C$19)))/$C$17),Services1106974798489949910410911411912613113614114615115616154992429343944495459[[#This Row],[Unit]]="Per unit/space/household",(_xlfn.IFS(Services1106974798489949910410911411912613113614114615115616154992429343944495459[[#This Row],[Frequency]]="Per Year",Services1106974798489949910410911411912613113614114615115616154992429343944495459[[#This Row],[Cost]]/12,Services1106974798489949910410911411912613113614114615115616154992429343944495459[[#This Row],[Frequency]]="Per month",Services1106974798489949910410911411912613113614114615115616154992429343944495459[[#This Row],[Cost]],Services1106974798489949910410911411912613113614114615115616154992429343944495459[[#This Row],[Frequency]]="Per day",Services1106974798489949910410911411912613113614114615115616154992429343944495459[[#This Row],[Cost]]*30,Services1106974798489949910410911411912613113614114615115616154992429343944495459[[#This Row],[Frequency]]="One-time",Services1106974798489949910410911411912613113614114615115616154992429343944495459[[#This Row],[Cost]]/SUM($C$18,$C$19))))</f>
        <v>#N/A</v>
      </c>
      <c r="H107" s="46" t="e">
        <f>Services1106974798489949910410911411912613113614114615115616154992429343944495459[[#This Row],[Monthly Cost Per Unit]]*12</f>
        <v>#N/A</v>
      </c>
    </row>
    <row r="108" spans="1:8" x14ac:dyDescent="0.25">
      <c r="A108" s="107" t="s">
        <v>20</v>
      </c>
      <c r="B108" s="107"/>
      <c r="C108" s="108" t="s">
        <v>68</v>
      </c>
      <c r="D108" s="109"/>
      <c r="E108" s="108"/>
      <c r="F108" s="108"/>
      <c r="G108" s="118"/>
      <c r="H108" s="111">
        <f>(SUMIF(Services1106974798489949910410911411912613113614114615115616154992429343944495459[Duration],"While homeless only",Services1106974798489949910410911411912613113614114615115616154992429343944495459[Monthly Cost Per Unit]))*12</f>
        <v>0</v>
      </c>
    </row>
    <row r="109" spans="1:8" x14ac:dyDescent="0.25">
      <c r="A109" s="112"/>
      <c r="B109" s="112"/>
      <c r="C109" s="108" t="s">
        <v>63</v>
      </c>
      <c r="D109" s="109"/>
      <c r="E109" s="108"/>
      <c r="F109" s="108"/>
      <c r="G109" s="111"/>
      <c r="H109" s="111">
        <f>(SUMIF(Services1106974798489949910410911411912613113614114615115616154992429343944495459[Duration],"While housed only",Services1106974798489949910410911411912613113614114615115616154992429343944495459[Monthly Cost Per Unit]))*12</f>
        <v>0</v>
      </c>
    </row>
    <row r="110" spans="1:8" x14ac:dyDescent="0.25">
      <c r="A110" s="112"/>
      <c r="B110" s="112"/>
      <c r="C110" s="108" t="s">
        <v>58</v>
      </c>
      <c r="D110" s="109"/>
      <c r="E110" s="108"/>
      <c r="F110" s="108"/>
      <c r="G110" s="111"/>
      <c r="H110" s="111">
        <f>(SUMIF(Services1106974798489949910410911411912613113614114615115616154992429343944495459[Duration],"Homeless &amp; housed",Services1106974798489949910410911411912613113614114615115616154992429343944495459[Monthly Cost Per Unit]))*12</f>
        <v>0</v>
      </c>
    </row>
    <row r="111" spans="1:8" ht="15.75" thickBot="1" x14ac:dyDescent="0.3">
      <c r="A111" s="113"/>
      <c r="B111" s="113"/>
      <c r="C111" s="114" t="s">
        <v>207</v>
      </c>
      <c r="D111" s="115"/>
      <c r="E111" s="114"/>
      <c r="F111" s="114"/>
      <c r="G111" s="117"/>
      <c r="H111" s="117">
        <f>(SUMIF(Services1106974798489949910410911411912613113614114615115616154992429343944495459[Duration],"N/A",Services1106974798489949910410911411912613113614114615115616154992429343944495459[Monthly Cost Per Unit]))*12</f>
        <v>0</v>
      </c>
    </row>
    <row r="112" spans="1:8" ht="16.5" thickTop="1" thickBot="1" x14ac:dyDescent="0.3">
      <c r="A112" s="113"/>
      <c r="B112" s="113"/>
      <c r="C112" s="114" t="s">
        <v>42</v>
      </c>
      <c r="D112" s="115"/>
      <c r="E112" s="114"/>
      <c r="F112" s="114"/>
      <c r="G112" s="117"/>
      <c r="H112" s="117">
        <f>SUM(H108:H111)</f>
        <v>0</v>
      </c>
    </row>
    <row r="113" spans="1:9" ht="15.75" thickTop="1" x14ac:dyDescent="0.25">
      <c r="A113"/>
      <c r="F113"/>
      <c r="G113"/>
      <c r="H113" s="128"/>
    </row>
    <row r="114" spans="1:9" x14ac:dyDescent="0.25">
      <c r="A114" s="274" t="s">
        <v>90</v>
      </c>
      <c r="B114" s="274"/>
      <c r="C114" s="274"/>
      <c r="D114" s="274"/>
      <c r="E114" s="274"/>
      <c r="F114" s="274"/>
      <c r="G114" s="274"/>
      <c r="H114" s="274"/>
    </row>
    <row r="115" spans="1:9" ht="33" customHeight="1" outlineLevel="1" x14ac:dyDescent="0.25">
      <c r="A115" s="294" t="s">
        <v>91</v>
      </c>
      <c r="B115" s="294"/>
      <c r="C115" s="294"/>
      <c r="D115" s="294"/>
      <c r="E115" s="294"/>
      <c r="F115" s="294"/>
      <c r="G115" s="294"/>
      <c r="H115" s="294"/>
    </row>
    <row r="116" spans="1:9" s="3" customFormat="1" ht="28.35" customHeight="1" x14ac:dyDescent="0.25">
      <c r="A116" s="131" t="s">
        <v>51</v>
      </c>
      <c r="B116" s="131" t="s">
        <v>52</v>
      </c>
      <c r="C116" s="131" t="s">
        <v>53</v>
      </c>
      <c r="D116" s="131" t="s">
        <v>54</v>
      </c>
      <c r="E116" s="131" t="s">
        <v>55</v>
      </c>
      <c r="F116" s="131" t="s">
        <v>56</v>
      </c>
      <c r="G116" s="131" t="s">
        <v>57</v>
      </c>
      <c r="H116" s="132" t="s">
        <v>20</v>
      </c>
    </row>
    <row r="117" spans="1:9" x14ac:dyDescent="0.25">
      <c r="A117" s="75"/>
      <c r="B117" s="75"/>
      <c r="C117" s="77"/>
      <c r="D117" s="78"/>
      <c r="E117" s="79"/>
      <c r="F117" s="79"/>
      <c r="G117" s="53" t="e" cm="1">
        <f t="array" ref="G117">_xlfn.IFS(Other111707580859095100105110115120127132137142147152157162551002530354045505560[[#This Row],[Unit]]="Program-wide",((_xlfn.IFS(Other111707580859095100105110115120127132137142147152157162551002530354045505560[[#This Row],[Frequency]]="Per Year",Other111707580859095100105110115120127132137142147152157162551002530354045505560[[#This Row],[Cost]]/12,Other111707580859095100105110115120127132137142147152157162551002530354045505560[[#This Row],[Frequency]]="Per month",Other111707580859095100105110115120127132137142147152157162551002530354045505560[[#This Row],[Cost]],Other111707580859095100105110115120127132137142147152157162551002530354045505560[[#This Row],[Frequency]]="Per day",Other111707580859095100105110115120127132137142147152157162551002530354045505560[[#This Row],[Cost]]*30,Other111707580859095100105110115120127132137142147152157162551002530354045505560[[#This Row],[Frequency]]="One-time",Other111707580859095100105110115120127132137142147152157162551002530354045505560[[#This Row],[Cost]]/SUM($C$18,$C$19)))/$C$17),Other111707580859095100105110115120127132137142147152157162551002530354045505560[[#This Row],[Unit]]="Per unit/space/household",(_xlfn.IFS(Other111707580859095100105110115120127132137142147152157162551002530354045505560[[#This Row],[Frequency]]="Per Year",Other111707580859095100105110115120127132137142147152157162551002530354045505560[[#This Row],[Cost]]/12,Other111707580859095100105110115120127132137142147152157162551002530354045505560[[#This Row],[Frequency]]="Per month",Other111707580859095100105110115120127132137142147152157162551002530354045505560[[#This Row],[Cost]],Other111707580859095100105110115120127132137142147152157162551002530354045505560[[#This Row],[Frequency]]="Per day",Other111707580859095100105110115120127132137142147152157162551002530354045505560[[#This Row],[Cost]]*30,Other111707580859095100105110115120127132137142147152157162551002530354045505560[[#This Row],[Frequency]]="One-time",Other111707580859095100105110115120127132137142147152157162551002530354045505560[[#This Row],[Cost]]/SUM($C$18,$C$19))))</f>
        <v>#N/A</v>
      </c>
      <c r="H117" s="46" t="e">
        <f>Other111707580859095100105110115120127132137142147152157162551002530354045505560[[#This Row],[Monthly Cost Per Unit]]*12</f>
        <v>#N/A</v>
      </c>
    </row>
    <row r="118" spans="1:9" x14ac:dyDescent="0.25">
      <c r="A118" s="75"/>
      <c r="B118" s="75"/>
      <c r="C118" s="77"/>
      <c r="D118" s="78"/>
      <c r="E118" s="79"/>
      <c r="F118" s="79"/>
      <c r="G118" s="53" t="e" cm="1">
        <f t="array" ref="G118">_xlfn.IFS(Other111707580859095100105110115120127132137142147152157162551002530354045505560[[#This Row],[Unit]]="Program-wide",((_xlfn.IFS(Other111707580859095100105110115120127132137142147152157162551002530354045505560[[#This Row],[Frequency]]="Per Year",Other111707580859095100105110115120127132137142147152157162551002530354045505560[[#This Row],[Cost]]/12,Other111707580859095100105110115120127132137142147152157162551002530354045505560[[#This Row],[Frequency]]="Per month",Other111707580859095100105110115120127132137142147152157162551002530354045505560[[#This Row],[Cost]],Other111707580859095100105110115120127132137142147152157162551002530354045505560[[#This Row],[Frequency]]="Per day",Other111707580859095100105110115120127132137142147152157162551002530354045505560[[#This Row],[Cost]]*30,Other111707580859095100105110115120127132137142147152157162551002530354045505560[[#This Row],[Frequency]]="One-time",Other111707580859095100105110115120127132137142147152157162551002530354045505560[[#This Row],[Cost]]/SUM($C$18,$C$19)))/$C$17),Other111707580859095100105110115120127132137142147152157162551002530354045505560[[#This Row],[Unit]]="Per unit/space/household",(_xlfn.IFS(Other111707580859095100105110115120127132137142147152157162551002530354045505560[[#This Row],[Frequency]]="Per Year",Other111707580859095100105110115120127132137142147152157162551002530354045505560[[#This Row],[Cost]]/12,Other111707580859095100105110115120127132137142147152157162551002530354045505560[[#This Row],[Frequency]]="Per month",Other111707580859095100105110115120127132137142147152157162551002530354045505560[[#This Row],[Cost]],Other111707580859095100105110115120127132137142147152157162551002530354045505560[[#This Row],[Frequency]]="Per day",Other111707580859095100105110115120127132137142147152157162551002530354045505560[[#This Row],[Cost]]*30,Other111707580859095100105110115120127132137142147152157162551002530354045505560[[#This Row],[Frequency]]="One-time",Other111707580859095100105110115120127132137142147152157162551002530354045505560[[#This Row],[Cost]]/SUM($C$18,$C$19))))</f>
        <v>#N/A</v>
      </c>
      <c r="H118" s="46" t="e">
        <f>Other111707580859095100105110115120127132137142147152157162551002530354045505560[[#This Row],[Monthly Cost Per Unit]]*12</f>
        <v>#N/A</v>
      </c>
    </row>
    <row r="119" spans="1:9" x14ac:dyDescent="0.25">
      <c r="A119" s="75"/>
      <c r="B119" s="75"/>
      <c r="C119" s="77"/>
      <c r="D119" s="78"/>
      <c r="E119" s="79"/>
      <c r="F119" s="79"/>
      <c r="G119" s="53" t="e" cm="1">
        <f t="array" ref="G119">_xlfn.IFS(Other111707580859095100105110115120127132137142147152157162551002530354045505560[[#This Row],[Unit]]="Program-wide",((_xlfn.IFS(Other111707580859095100105110115120127132137142147152157162551002530354045505560[[#This Row],[Frequency]]="Per Year",Other111707580859095100105110115120127132137142147152157162551002530354045505560[[#This Row],[Cost]]/12,Other111707580859095100105110115120127132137142147152157162551002530354045505560[[#This Row],[Frequency]]="Per month",Other111707580859095100105110115120127132137142147152157162551002530354045505560[[#This Row],[Cost]],Other111707580859095100105110115120127132137142147152157162551002530354045505560[[#This Row],[Frequency]]="Per day",Other111707580859095100105110115120127132137142147152157162551002530354045505560[[#This Row],[Cost]]*30,Other111707580859095100105110115120127132137142147152157162551002530354045505560[[#This Row],[Frequency]]="One-time",Other111707580859095100105110115120127132137142147152157162551002530354045505560[[#This Row],[Cost]]/SUM($C$18,$C$19)))/$C$17),Other111707580859095100105110115120127132137142147152157162551002530354045505560[[#This Row],[Unit]]="Per unit/space/household",(_xlfn.IFS(Other111707580859095100105110115120127132137142147152157162551002530354045505560[[#This Row],[Frequency]]="Per Year",Other111707580859095100105110115120127132137142147152157162551002530354045505560[[#This Row],[Cost]]/12,Other111707580859095100105110115120127132137142147152157162551002530354045505560[[#This Row],[Frequency]]="Per month",Other111707580859095100105110115120127132137142147152157162551002530354045505560[[#This Row],[Cost]],Other111707580859095100105110115120127132137142147152157162551002530354045505560[[#This Row],[Frequency]]="Per day",Other111707580859095100105110115120127132137142147152157162551002530354045505560[[#This Row],[Cost]]*30,Other111707580859095100105110115120127132137142147152157162551002530354045505560[[#This Row],[Frequency]]="One-time",Other111707580859095100105110115120127132137142147152157162551002530354045505560[[#This Row],[Cost]]/SUM($C$18,$C$19))))</f>
        <v>#N/A</v>
      </c>
      <c r="H119" s="46" t="e">
        <f>Other111707580859095100105110115120127132137142147152157162551002530354045505560[[#This Row],[Monthly Cost Per Unit]]*12</f>
        <v>#N/A</v>
      </c>
    </row>
    <row r="120" spans="1:9" x14ac:dyDescent="0.25">
      <c r="A120" s="75"/>
      <c r="B120" s="75"/>
      <c r="C120" s="77"/>
      <c r="D120" s="78"/>
      <c r="E120" s="79"/>
      <c r="F120" s="79"/>
      <c r="G120" s="53" t="e" cm="1">
        <f t="array" ref="G120">_xlfn.IFS(Other111707580859095100105110115120127132137142147152157162551002530354045505560[[#This Row],[Unit]]="Program-wide",((_xlfn.IFS(Other111707580859095100105110115120127132137142147152157162551002530354045505560[[#This Row],[Frequency]]="Per Year",Other111707580859095100105110115120127132137142147152157162551002530354045505560[[#This Row],[Cost]]/12,Other111707580859095100105110115120127132137142147152157162551002530354045505560[[#This Row],[Frequency]]="Per month",Other111707580859095100105110115120127132137142147152157162551002530354045505560[[#This Row],[Cost]],Other111707580859095100105110115120127132137142147152157162551002530354045505560[[#This Row],[Frequency]]="Per day",Other111707580859095100105110115120127132137142147152157162551002530354045505560[[#This Row],[Cost]]*30,Other111707580859095100105110115120127132137142147152157162551002530354045505560[[#This Row],[Frequency]]="One-time",Other111707580859095100105110115120127132137142147152157162551002530354045505560[[#This Row],[Cost]]/SUM($C$18,$C$19)))/$C$17),Other111707580859095100105110115120127132137142147152157162551002530354045505560[[#This Row],[Unit]]="Per unit/space/household",(_xlfn.IFS(Other111707580859095100105110115120127132137142147152157162551002530354045505560[[#This Row],[Frequency]]="Per Year",Other111707580859095100105110115120127132137142147152157162551002530354045505560[[#This Row],[Cost]]/12,Other111707580859095100105110115120127132137142147152157162551002530354045505560[[#This Row],[Frequency]]="Per month",Other111707580859095100105110115120127132137142147152157162551002530354045505560[[#This Row],[Cost]],Other111707580859095100105110115120127132137142147152157162551002530354045505560[[#This Row],[Frequency]]="Per day",Other111707580859095100105110115120127132137142147152157162551002530354045505560[[#This Row],[Cost]]*30,Other111707580859095100105110115120127132137142147152157162551002530354045505560[[#This Row],[Frequency]]="One-time",Other111707580859095100105110115120127132137142147152157162551002530354045505560[[#This Row],[Cost]]/SUM($C$18,$C$19))))</f>
        <v>#N/A</v>
      </c>
      <c r="H120" s="46" t="e">
        <f>Other111707580859095100105110115120127132137142147152157162551002530354045505560[[#This Row],[Monthly Cost Per Unit]]*12</f>
        <v>#N/A</v>
      </c>
    </row>
    <row r="121" spans="1:9" s="1" customFormat="1" x14ac:dyDescent="0.25">
      <c r="A121" s="80"/>
      <c r="B121" s="80"/>
      <c r="C121" s="82"/>
      <c r="D121" s="83"/>
      <c r="E121" s="84"/>
      <c r="F121" s="84"/>
      <c r="G121" s="55" t="e" cm="1">
        <f t="array" ref="G121">_xlfn.IFS(Other111707580859095100105110115120127132137142147152157162551002530354045505560[[#This Row],[Unit]]="Program-wide",((_xlfn.IFS(Other111707580859095100105110115120127132137142147152157162551002530354045505560[[#This Row],[Frequency]]="Per Year",Other111707580859095100105110115120127132137142147152157162551002530354045505560[[#This Row],[Cost]]/12,Other111707580859095100105110115120127132137142147152157162551002530354045505560[[#This Row],[Frequency]]="Per month",Other111707580859095100105110115120127132137142147152157162551002530354045505560[[#This Row],[Cost]],Other111707580859095100105110115120127132137142147152157162551002530354045505560[[#This Row],[Frequency]]="Per day",Other111707580859095100105110115120127132137142147152157162551002530354045505560[[#This Row],[Cost]]*30,Other111707580859095100105110115120127132137142147152157162551002530354045505560[[#This Row],[Frequency]]="One-time",Other111707580859095100105110115120127132137142147152157162551002530354045505560[[#This Row],[Cost]]/SUM($C$18,$C$19)))/$C$17),Other111707580859095100105110115120127132137142147152157162551002530354045505560[[#This Row],[Unit]]="Per unit/space/household",(_xlfn.IFS(Other111707580859095100105110115120127132137142147152157162551002530354045505560[[#This Row],[Frequency]]="Per Year",Other111707580859095100105110115120127132137142147152157162551002530354045505560[[#This Row],[Cost]]/12,Other111707580859095100105110115120127132137142147152157162551002530354045505560[[#This Row],[Frequency]]="Per month",Other111707580859095100105110115120127132137142147152157162551002530354045505560[[#This Row],[Cost]],Other111707580859095100105110115120127132137142147152157162551002530354045505560[[#This Row],[Frequency]]="Per day",Other111707580859095100105110115120127132137142147152157162551002530354045505560[[#This Row],[Cost]]*30,Other111707580859095100105110115120127132137142147152157162551002530354045505560[[#This Row],[Frequency]]="One-time",Other111707580859095100105110115120127132137142147152157162551002530354045505560[[#This Row],[Cost]]/SUM($C$18,$C$19))))</f>
        <v>#N/A</v>
      </c>
      <c r="H121" s="46" t="e">
        <f>Other111707580859095100105110115120127132137142147152157162551002530354045505560[[#This Row],[Monthly Cost Per Unit]]*12</f>
        <v>#N/A</v>
      </c>
      <c r="I121"/>
    </row>
    <row r="122" spans="1:9" x14ac:dyDescent="0.25">
      <c r="A122" s="107" t="s">
        <v>20</v>
      </c>
      <c r="B122" s="107"/>
      <c r="C122" s="108" t="s">
        <v>68</v>
      </c>
      <c r="D122" s="109"/>
      <c r="E122" s="108"/>
      <c r="F122" s="108"/>
      <c r="G122" s="118"/>
      <c r="H122" s="111">
        <f>(SUMIF(Other111707580859095100105110115120127132137142147152157162551002530354045505560[Duration],"While homeless only",Other111707580859095100105110115120127132137142147152157162551002530354045505560[Monthly Cost Per Unit]))*12</f>
        <v>0</v>
      </c>
    </row>
    <row r="123" spans="1:9" x14ac:dyDescent="0.25">
      <c r="A123" s="112"/>
      <c r="B123" s="112"/>
      <c r="C123" s="108" t="s">
        <v>63</v>
      </c>
      <c r="D123" s="109"/>
      <c r="E123" s="108"/>
      <c r="F123" s="108"/>
      <c r="G123" s="111"/>
      <c r="H123" s="111">
        <f>(SUMIF(Other111707580859095100105110115120127132137142147152157162551002530354045505560[Duration],"While housed only",Other111707580859095100105110115120127132137142147152157162551002530354045505560[Monthly Cost Per Unit]))*12</f>
        <v>0</v>
      </c>
    </row>
    <row r="124" spans="1:9" x14ac:dyDescent="0.25">
      <c r="A124" s="112"/>
      <c r="B124" s="112"/>
      <c r="C124" s="108" t="s">
        <v>58</v>
      </c>
      <c r="D124" s="109"/>
      <c r="E124" s="108"/>
      <c r="F124" s="108"/>
      <c r="G124" s="111"/>
      <c r="H124" s="111">
        <f>(SUMIF(Other111707580859095100105110115120127132137142147152157162551002530354045505560[Duration],"Homeless &amp; housed",Other111707580859095100105110115120127132137142147152157162551002530354045505560[Monthly Cost Per Unit]))*12</f>
        <v>0</v>
      </c>
    </row>
    <row r="125" spans="1:9" ht="15.75" thickBot="1" x14ac:dyDescent="0.3">
      <c r="A125" s="113"/>
      <c r="B125" s="113"/>
      <c r="C125" s="114" t="s">
        <v>207</v>
      </c>
      <c r="D125" s="115"/>
      <c r="E125" s="114"/>
      <c r="F125" s="114"/>
      <c r="G125" s="117"/>
      <c r="H125" s="117">
        <f>(SUMIF(Other111707580859095100105110115120127132137142147152157162551002530354045505560[Duration],"N/A",Other111707580859095100105110115120127132137142147152157162551002530354045505560[Monthly Cost Per Unit]))*12</f>
        <v>0</v>
      </c>
    </row>
    <row r="126" spans="1:9" ht="16.5" thickTop="1" thickBot="1" x14ac:dyDescent="0.3">
      <c r="A126" s="113"/>
      <c r="B126" s="113"/>
      <c r="C126" s="114" t="s">
        <v>42</v>
      </c>
      <c r="D126" s="115"/>
      <c r="E126" s="114"/>
      <c r="F126" s="114"/>
      <c r="G126" s="117"/>
      <c r="H126" s="117">
        <f>SUM(H122:H125)</f>
        <v>0</v>
      </c>
    </row>
    <row r="127" spans="1:9" ht="15.75" thickTop="1" x14ac:dyDescent="0.25"/>
    <row r="128" spans="1:9" x14ac:dyDescent="0.25">
      <c r="A128" s="269" t="s">
        <v>92</v>
      </c>
      <c r="B128" s="269"/>
      <c r="C128" s="269"/>
      <c r="D128" s="269"/>
      <c r="E128" s="269"/>
      <c r="F128" s="269"/>
      <c r="G128" s="269"/>
      <c r="H128" s="269"/>
    </row>
    <row r="129" spans="1:8" x14ac:dyDescent="0.25">
      <c r="A129" s="304" t="s">
        <v>20</v>
      </c>
      <c r="B129" s="147"/>
      <c r="C129" s="108" t="s">
        <v>68</v>
      </c>
      <c r="D129" s="109"/>
      <c r="E129" s="108"/>
      <c r="F129" s="108"/>
      <c r="G129" s="118"/>
      <c r="H129" s="111">
        <f>SUM(H32,H53,H86, H108,H122)</f>
        <v>0</v>
      </c>
    </row>
    <row r="130" spans="1:8" x14ac:dyDescent="0.25">
      <c r="A130" s="305"/>
      <c r="B130" s="148"/>
      <c r="C130" s="108" t="s">
        <v>63</v>
      </c>
      <c r="D130" s="109"/>
      <c r="E130" s="108"/>
      <c r="F130" s="108"/>
      <c r="G130" s="111"/>
      <c r="H130" s="111">
        <f>SUM(H33,H54,H87, H109,H123)</f>
        <v>0</v>
      </c>
    </row>
    <row r="131" spans="1:8" x14ac:dyDescent="0.25">
      <c r="A131" s="305"/>
      <c r="B131" s="148"/>
      <c r="C131" s="108" t="s">
        <v>58</v>
      </c>
      <c r="D131" s="109"/>
      <c r="E131" s="108"/>
      <c r="F131" s="108"/>
      <c r="G131" s="111"/>
      <c r="H131" s="111">
        <f>SUM(H34,H55,H88, H110,H124)</f>
        <v>0</v>
      </c>
    </row>
    <row r="132" spans="1:8" ht="15.75" thickBot="1" x14ac:dyDescent="0.3">
      <c r="A132" s="305"/>
      <c r="B132" s="148"/>
      <c r="C132" s="114" t="s">
        <v>207</v>
      </c>
      <c r="D132" s="115"/>
      <c r="E132" s="114"/>
      <c r="F132" s="114"/>
      <c r="G132" s="117"/>
      <c r="H132" s="149">
        <f>SUM(H35,H56,H89, H111,H125)</f>
        <v>0</v>
      </c>
    </row>
    <row r="133" spans="1:8" ht="16.5" thickTop="1" thickBot="1" x14ac:dyDescent="0.3">
      <c r="A133" s="306"/>
      <c r="B133" s="150"/>
      <c r="C133" s="130" t="s">
        <v>42</v>
      </c>
      <c r="D133" s="130"/>
      <c r="E133" s="130"/>
      <c r="F133" s="130"/>
      <c r="G133" s="151"/>
      <c r="H133" s="117">
        <f>SUM(H36,H57,H90, H112,H126)</f>
        <v>0</v>
      </c>
    </row>
    <row r="134" spans="1:8" ht="15.75" thickTop="1" x14ac:dyDescent="0.25"/>
  </sheetData>
  <sheetProtection sheet="1" formatCells="0" formatColumns="0" formatRows="0" insertRows="0"/>
  <mergeCells count="41">
    <mergeCell ref="A128:H128"/>
    <mergeCell ref="A129:A133"/>
    <mergeCell ref="A25:H25"/>
    <mergeCell ref="A38:H38"/>
    <mergeCell ref="A39:H39"/>
    <mergeCell ref="A59:H59"/>
    <mergeCell ref="A60:H60"/>
    <mergeCell ref="A61:F61"/>
    <mergeCell ref="A62:F62"/>
    <mergeCell ref="A74:F74"/>
    <mergeCell ref="G74:H74"/>
    <mergeCell ref="A75:H75"/>
    <mergeCell ref="A92:H92"/>
    <mergeCell ref="A93:H93"/>
    <mergeCell ref="A114:H114"/>
    <mergeCell ref="A115:H115"/>
    <mergeCell ref="C19:D19"/>
    <mergeCell ref="A16:D16"/>
    <mergeCell ref="A15:D15"/>
    <mergeCell ref="A10:B10"/>
    <mergeCell ref="C10:D10"/>
    <mergeCell ref="A11:B11"/>
    <mergeCell ref="C11:D11"/>
    <mergeCell ref="A12:B12"/>
    <mergeCell ref="C12:D12"/>
    <mergeCell ref="A22:H22"/>
    <mergeCell ref="A24:H24"/>
    <mergeCell ref="A2:H2"/>
    <mergeCell ref="A7:D7"/>
    <mergeCell ref="A9:D9"/>
    <mergeCell ref="F9:G9"/>
    <mergeCell ref="A13:B13"/>
    <mergeCell ref="C13:D13"/>
    <mergeCell ref="A4:D4"/>
    <mergeCell ref="A5:B5"/>
    <mergeCell ref="C5:D5"/>
    <mergeCell ref="A17:B17"/>
    <mergeCell ref="C17:D17"/>
    <mergeCell ref="A18:B18"/>
    <mergeCell ref="C18:D18"/>
    <mergeCell ref="A19:B19"/>
  </mergeCells>
  <dataValidations count="12">
    <dataValidation type="custom" allowBlank="1" showInputMessage="1" showErrorMessage="1" prompt="This would be the amount of time a client is enrolled in the program before they have a housing move-in date in HMIS." sqref="C18:D18" xr:uid="{C4F1D80D-0C58-46D9-B0DB-BDDB56A876BD}">
      <formula1>ISNUMBER(VALUE(C18))</formula1>
    </dataValidation>
    <dataValidation type="custom" allowBlank="1" showInputMessage="1" showErrorMessage="1" prompt="This would be the amount of time a client is enrolled in the program after they have a housing move-in date in HMIS." sqref="C19:D19" xr:uid="{AEB9719B-86A7-44F8-A171-4A710BAFDE5C}">
      <formula1>ISNUMBER(VALUE(C19))</formula1>
    </dataValidation>
    <dataValidation allowBlank="1" showErrorMessage="1" sqref="C20 F14:G14" xr:uid="{B22B2AE8-EBF6-4EB7-95C7-87160E74E359}"/>
    <dataValidation allowBlank="1" showInputMessage="1" showErrorMessage="1" prompt="This would be the amount of time a client is enrolled in the program before they have a housing move-in date in HMIS." sqref="A18:B18" xr:uid="{DF0429EA-10B4-498D-9D00-D8BA4CC9D2DF}"/>
    <dataValidation allowBlank="1" showInputMessage="1" showErrorMessage="1" prompt="This would be the amount of time a client is enrolled in the program after they have a housing move-in date in HMIS." sqref="A19:B20 D20" xr:uid="{E5F08188-A847-4AF1-A6B8-69FA2C88B05F}"/>
    <dataValidation allowBlank="1" showInputMessage="1" showErrorMessage="1" prompt="This column is auto-calculated based on the average rental cost and average utility cost per unit information." sqref="F63:F72" xr:uid="{F4EFBBF0-F423-421B-B0AD-48BD959611A5}"/>
    <dataValidation allowBlank="1" showInputMessage="1" showErrorMessage="1" prompt="This field required a selection from a drop-down menu. To find this menu, click on the cell and click the down arrow on the right-hand of the cell. " sqref="C26 C40 C76 C94 C116" xr:uid="{B3CCDAE1-61F2-476B-A80C-17EA180DC6EB}"/>
    <dataValidation allowBlank="1" showInputMessage="1" showErrorMessage="1" prompt="This field required a selection from a drop-down menu. To find this menu, click on the cell and click the down arrow on the right-hand of the cell." sqref="E26:F26 E40:F40 E76:F76 E94:F94 E116:F116" xr:uid="{BC125D6B-326E-4CDF-82CD-A3F2F3D3ACDF}"/>
    <dataValidation allowBlank="1" showInputMessage="1" showErrorMessage="1" prompt="_x000a_" sqref="G13" xr:uid="{4B53D0D1-81A1-44CF-B20B-7AFF2B23BCED}"/>
    <dataValidation type="custom" allowBlank="1" showInputMessage="1" showErrorMessage="1" sqref="D27:D31 D41:D52 D77:D85 D95:D107 D117:D121 B64:E71" xr:uid="{25FF80EC-7DCF-4673-96ED-B4E3F1BF7153}">
      <formula1>ISNUMBER(VALUE(B27))</formula1>
    </dataValidation>
    <dataValidation allowBlank="1" showInputMessage="1" showErrorMessage="1" prompt="Project capacity is the number of units available at a point in time. Depending on the project type, a unit may represent a rental subsidy, a room or bed in a congregate setting, a motel room, a supportive services slot, etc." sqref="A17:B17" xr:uid="{420B9DC0-59A1-4BC9-AD0C-B3264FB4074F}"/>
    <dataValidation type="custom" allowBlank="1" showInputMessage="1" showErrorMessage="1" prompt="Project capacity is the number of units available at a point in time. Depending on the project type, a unit may represent a rental subsidy, a room or bed in a congregate setting, a motel room, a supportive services slot, etc." sqref="C17:D17" xr:uid="{168CC465-403A-48E7-AB45-98F3550B4ADA}">
      <formula1>ISNUMBER(VALUE(C17))</formula1>
    </dataValidation>
  </dataValidations>
  <pageMargins left="0.7" right="0.7" top="0.75" bottom="0.75" header="0.3" footer="0.3"/>
  <pageSetup orientation="portrait" horizontalDpi="90" verticalDpi="90" r:id="rId1"/>
  <tableParts count="5">
    <tablePart r:id="rId2"/>
    <tablePart r:id="rId3"/>
    <tablePart r:id="rId4"/>
    <tablePart r:id="rId5"/>
    <tablePart r:id="rId6"/>
  </tableParts>
  <extLst>
    <ext xmlns:x14="http://schemas.microsoft.com/office/spreadsheetml/2009/9/main" uri="{CCE6A557-97BC-4b89-ADB6-D9C93CAAB3DF}">
      <x14:dataValidations xmlns:xm="http://schemas.microsoft.com/office/excel/2006/main" count="9">
        <x14:dataValidation type="list" allowBlank="1" showInputMessage="1" showErrorMessage="1" prompt="This field required a selection from a drop-down menu. To find this menu, click on the cell and click the down arrow on the right-hand of the cell. " xr:uid="{77E3804F-B4CC-4346-90AC-7B8FF6404FC9}">
          <x14:formula1>
            <xm:f>Allowable!$E$2:$E$4</xm:f>
          </x14:formula1>
          <xm:sqref>C117:C121 C95:C107 C77:C85</xm:sqref>
        </x14:dataValidation>
        <x14:dataValidation type="list" allowBlank="1" showInputMessage="1" showErrorMessage="1" xr:uid="{305B46FD-4ECB-4BCE-BFAD-14942B94A64F}">
          <x14:formula1>
            <xm:f>Allowable!$B$2:$B$3</xm:f>
          </x14:formula1>
          <xm:sqref>F58</xm:sqref>
        </x14:dataValidation>
        <x14:dataValidation type="list" allowBlank="1" showInputMessage="1" showErrorMessage="1" xr:uid="{B20A68A5-168F-4E4E-85EF-E102E7FBF138}">
          <x14:formula1>
            <xm:f>Allowable!$A$2:$A$5</xm:f>
          </x14:formula1>
          <xm:sqref>E58</xm:sqref>
        </x14:dataValidation>
        <x14:dataValidation type="list" allowBlank="1" showInputMessage="1" showErrorMessage="1" prompt="This field required a selection from a drop-down menu. To find this menu, click on the cell and click the down arrow on the right-hand of the cell." xr:uid="{C1E17CE2-DEC2-4145-9176-483379CCAF59}">
          <x14:formula1>
            <xm:f>Allowable!$A$2:$A$5</xm:f>
          </x14:formula1>
          <xm:sqref>E27:E31 E41:E52</xm:sqref>
        </x14:dataValidation>
        <x14:dataValidation type="list" allowBlank="1" showInputMessage="1" showErrorMessage="1" prompt="This field required a selection from a drop-down menu. To find this menu, click on the cell and click the down arrow on the right-hand of the cell. " xr:uid="{46062874-513F-4320-A4B3-FD7F8E0C9C4E}">
          <x14:formula1>
            <xm:f>Allowable!$A$2:$A$5</xm:f>
          </x14:formula1>
          <xm:sqref>E41:E52 E77:E85 E95:E107 E117:E121</xm:sqref>
        </x14:dataValidation>
        <x14:dataValidation type="list" allowBlank="1" showInputMessage="1" showErrorMessage="1" prompt="This field required a selection from a drop-down menu. To find this menu, click on the cell and click the down arrow on the right-hand of the cell. " xr:uid="{85FCBC7A-24F1-4015-84FD-10B08C95882C}">
          <x14:formula1>
            <xm:f>Allowable!$B$2:$B$3</xm:f>
          </x14:formula1>
          <xm:sqref>F41:F52 F77:F85 F95:F107 F117:F121</xm:sqref>
        </x14:dataValidation>
        <x14:dataValidation type="list" allowBlank="1" showInputMessage="1" showErrorMessage="1" prompt="This field required a selection from a drop-down menu. To find this menu, click on the cell and click the down arrow on the right-hand of the cell." xr:uid="{BA1A1BD8-CC69-49F2-9EE6-F9E14AA8D5FC}">
          <x14:formula1>
            <xm:f>Allowable!$B$2:$B$3</xm:f>
          </x14:formula1>
          <xm:sqref>F27:F31</xm:sqref>
        </x14:dataValidation>
        <x14:dataValidation type="list" allowBlank="1" showInputMessage="1" showErrorMessage="1" xr:uid="{ADF96192-3249-42CF-B29A-12602C8D68BE}">
          <x14:formula1>
            <xm:f>Allowable!$D$2:$D$13</xm:f>
          </x14:formula1>
          <xm:sqref>C11:D11</xm:sqref>
        </x14:dataValidation>
        <x14:dataValidation type="list" allowBlank="1" showInputMessage="1" showErrorMessage="1" prompt="This field required a selection from a drop-down menu. To find this menu, click on the cell and click the down arrow on the right-hand of the cell. " xr:uid="{73FE93F7-24CD-4264-835D-635BE9A3F552}">
          <x14:formula1>
            <xm:f>Allowable!$E$2:$E$5</xm:f>
          </x14:formula1>
          <xm:sqref>C27:C31 C41:C52</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B7C32-2BFF-4B91-86A4-EDFCA1727402}">
  <sheetPr>
    <tabColor theme="8" tint="0.79998168889431442"/>
  </sheetPr>
  <dimension ref="A2:I134"/>
  <sheetViews>
    <sheetView showGridLines="0" zoomScaleNormal="100" workbookViewId="0">
      <selection activeCell="J12" sqref="J12"/>
    </sheetView>
  </sheetViews>
  <sheetFormatPr defaultColWidth="8.7109375" defaultRowHeight="15" outlineLevelRow="1" x14ac:dyDescent="0.25"/>
  <cols>
    <col min="1" max="1" width="27.140625" style="3" customWidth="1"/>
    <col min="2" max="2" width="21.140625" customWidth="1"/>
    <col min="3" max="3" width="18.5703125" customWidth="1"/>
    <col min="4" max="5" width="14.42578125" customWidth="1"/>
    <col min="6" max="6" width="22.85546875" style="128" customWidth="1"/>
    <col min="7" max="7" width="13.5703125" style="128" customWidth="1"/>
    <col min="8" max="8" width="13.140625" customWidth="1"/>
    <col min="9" max="9" width="10.5703125" customWidth="1"/>
    <col min="10" max="10" width="10.42578125" customWidth="1"/>
    <col min="11" max="11" width="22.5703125" customWidth="1"/>
    <col min="12" max="12" width="14.85546875" customWidth="1"/>
  </cols>
  <sheetData>
    <row r="2" spans="1:8" ht="26.25" x14ac:dyDescent="0.4">
      <c r="A2" s="288" t="str">
        <f>CONCATENATE("Comparable Projects for ", 'Model Project Type'!D10, " Cost Assumptions")</f>
        <v>Comparable Projects for  Cost Assumptions</v>
      </c>
      <c r="B2" s="288"/>
      <c r="C2" s="288"/>
      <c r="D2" s="288"/>
      <c r="E2" s="288"/>
      <c r="F2" s="288"/>
      <c r="G2" s="288"/>
      <c r="H2" s="288"/>
    </row>
    <row r="3" spans="1:8" ht="19.5" customHeight="1" x14ac:dyDescent="0.25"/>
    <row r="4" spans="1:8" ht="26.1" customHeight="1" x14ac:dyDescent="0.4">
      <c r="A4" s="273" t="s">
        <v>1</v>
      </c>
      <c r="B4" s="273"/>
      <c r="C4" s="273"/>
      <c r="D4" s="273"/>
    </row>
    <row r="5" spans="1:8" ht="30.6" customHeight="1" x14ac:dyDescent="0.25">
      <c r="A5" s="292" t="s">
        <v>109</v>
      </c>
      <c r="B5" s="292"/>
      <c r="C5" s="293" t="str">
        <f>IF('Model Project Type'!D10 = 0, " ", 'Model Project Type'!D10)</f>
        <v xml:space="preserve"> </v>
      </c>
      <c r="D5" s="293"/>
    </row>
    <row r="6" spans="1:8" ht="20.100000000000001" customHeight="1" x14ac:dyDescent="0.25">
      <c r="A6"/>
      <c r="F6"/>
      <c r="G6"/>
    </row>
    <row r="7" spans="1:8" ht="26.1" customHeight="1" x14ac:dyDescent="0.4">
      <c r="A7" s="273" t="s">
        <v>35</v>
      </c>
      <c r="B7" s="273"/>
      <c r="C7" s="273"/>
      <c r="D7" s="273"/>
    </row>
    <row r="8" spans="1:8" ht="5.45" customHeight="1" x14ac:dyDescent="0.4">
      <c r="A8" s="36"/>
      <c r="B8" s="36"/>
      <c r="C8" s="36"/>
      <c r="D8" s="36"/>
      <c r="F8" s="129"/>
      <c r="G8" s="129"/>
    </row>
    <row r="9" spans="1:8" ht="20.100000000000001" customHeight="1" x14ac:dyDescent="0.25">
      <c r="A9" s="289" t="s">
        <v>36</v>
      </c>
      <c r="B9" s="289"/>
      <c r="C9" s="289"/>
      <c r="D9" s="289"/>
      <c r="F9" s="308" t="s">
        <v>37</v>
      </c>
      <c r="G9" s="308"/>
    </row>
    <row r="10" spans="1:8" ht="19.7" customHeight="1" x14ac:dyDescent="0.25">
      <c r="A10" s="290" t="s">
        <v>38</v>
      </c>
      <c r="B10" s="290"/>
      <c r="C10" s="311"/>
      <c r="D10" s="311"/>
      <c r="F10" s="108" t="s">
        <v>68</v>
      </c>
      <c r="G10" s="111">
        <f>H129</f>
        <v>0</v>
      </c>
    </row>
    <row r="11" spans="1:8" ht="19.7" customHeight="1" x14ac:dyDescent="0.25">
      <c r="A11" s="286" t="s">
        <v>39</v>
      </c>
      <c r="B11" s="286"/>
      <c r="C11" s="310"/>
      <c r="D11" s="310"/>
      <c r="F11" s="108" t="s">
        <v>63</v>
      </c>
      <c r="G11" s="111">
        <f>H130</f>
        <v>0</v>
      </c>
    </row>
    <row r="12" spans="1:8" ht="19.7" customHeight="1" x14ac:dyDescent="0.25">
      <c r="A12" s="287" t="s">
        <v>40</v>
      </c>
      <c r="B12" s="287"/>
      <c r="C12" s="307"/>
      <c r="D12" s="307"/>
      <c r="F12" s="108" t="s">
        <v>58</v>
      </c>
      <c r="G12" s="111">
        <f>H131</f>
        <v>0</v>
      </c>
    </row>
    <row r="13" spans="1:8" ht="19.7" customHeight="1" thickBot="1" x14ac:dyDescent="0.3">
      <c r="A13" s="286" t="s">
        <v>41</v>
      </c>
      <c r="B13" s="286"/>
      <c r="C13" s="307"/>
      <c r="D13" s="307"/>
      <c r="F13" s="114" t="s">
        <v>207</v>
      </c>
      <c r="G13" s="117">
        <f>H132</f>
        <v>0</v>
      </c>
    </row>
    <row r="14" spans="1:8" ht="19.7" customHeight="1" thickTop="1" thickBot="1" x14ac:dyDescent="0.3">
      <c r="A14" s="7"/>
      <c r="B14" s="40"/>
      <c r="C14" s="35"/>
      <c r="D14" s="34"/>
      <c r="F14" s="130" t="s">
        <v>42</v>
      </c>
      <c r="G14" s="117">
        <f>H133</f>
        <v>0</v>
      </c>
    </row>
    <row r="15" spans="1:8" ht="19.7" customHeight="1" thickTop="1" x14ac:dyDescent="0.25">
      <c r="A15" s="280" t="s">
        <v>43</v>
      </c>
      <c r="B15" s="280"/>
      <c r="C15" s="280"/>
      <c r="D15" s="280"/>
    </row>
    <row r="16" spans="1:8" ht="44.45" customHeight="1" x14ac:dyDescent="0.25">
      <c r="A16" s="281" t="s">
        <v>44</v>
      </c>
      <c r="B16" s="282"/>
      <c r="C16" s="282"/>
      <c r="D16" s="282"/>
    </row>
    <row r="17" spans="1:9" ht="18.600000000000001" customHeight="1" x14ac:dyDescent="0.25">
      <c r="A17" s="283" t="s">
        <v>45</v>
      </c>
      <c r="B17" s="283"/>
      <c r="C17" s="309"/>
      <c r="D17" s="309"/>
    </row>
    <row r="18" spans="1:9" ht="44.45" customHeight="1" x14ac:dyDescent="0.25">
      <c r="A18" s="275" t="s">
        <v>46</v>
      </c>
      <c r="B18" s="275"/>
      <c r="C18" s="310"/>
      <c r="D18" s="310"/>
    </row>
    <row r="19" spans="1:9" ht="44.45" customHeight="1" x14ac:dyDescent="0.25">
      <c r="A19" s="275" t="s">
        <v>47</v>
      </c>
      <c r="B19" s="275"/>
      <c r="C19" s="307"/>
      <c r="D19" s="307"/>
    </row>
    <row r="20" spans="1:9" ht="14.1" customHeight="1" x14ac:dyDescent="0.25">
      <c r="A20" s="33"/>
      <c r="B20" s="33"/>
      <c r="C20" s="39"/>
      <c r="D20" s="35"/>
    </row>
    <row r="21" spans="1:9" ht="17.45" customHeight="1" x14ac:dyDescent="0.25">
      <c r="A21" s="4"/>
      <c r="B21" s="4"/>
      <c r="C21" s="35"/>
      <c r="D21" s="35"/>
    </row>
    <row r="22" spans="1:9" ht="21" customHeight="1" x14ac:dyDescent="0.4">
      <c r="A22" s="277" t="s">
        <v>48</v>
      </c>
      <c r="B22" s="277"/>
      <c r="C22" s="277"/>
      <c r="D22" s="277"/>
      <c r="E22" s="277"/>
      <c r="F22" s="277"/>
      <c r="G22" s="277"/>
      <c r="H22" s="277"/>
    </row>
    <row r="23" spans="1:9" ht="6.6" customHeight="1" x14ac:dyDescent="0.25">
      <c r="A23" s="32"/>
      <c r="B23" s="30"/>
      <c r="C23" s="30"/>
      <c r="D23" s="30"/>
      <c r="F23" s="129"/>
      <c r="G23" s="129"/>
    </row>
    <row r="24" spans="1:9" x14ac:dyDescent="0.25">
      <c r="A24" s="274" t="s">
        <v>49</v>
      </c>
      <c r="B24" s="274"/>
      <c r="C24" s="274"/>
      <c r="D24" s="274"/>
      <c r="E24" s="274"/>
      <c r="F24" s="274"/>
      <c r="G24" s="274"/>
      <c r="H24" s="274"/>
    </row>
    <row r="25" spans="1:9" ht="30.75" customHeight="1" outlineLevel="1" x14ac:dyDescent="0.25">
      <c r="A25" s="294" t="s">
        <v>50</v>
      </c>
      <c r="B25" s="294"/>
      <c r="C25" s="294"/>
      <c r="D25" s="294"/>
      <c r="E25" s="294"/>
      <c r="F25" s="294"/>
      <c r="G25" s="294"/>
      <c r="H25" s="294"/>
    </row>
    <row r="26" spans="1:9" s="3" customFormat="1" ht="28.35" customHeight="1" x14ac:dyDescent="0.25">
      <c r="A26" s="131" t="s">
        <v>51</v>
      </c>
      <c r="B26" s="131" t="s">
        <v>52</v>
      </c>
      <c r="C26" s="131" t="s">
        <v>53</v>
      </c>
      <c r="D26" s="131" t="s">
        <v>54</v>
      </c>
      <c r="E26" s="131" t="s">
        <v>55</v>
      </c>
      <c r="F26" s="131" t="s">
        <v>56</v>
      </c>
      <c r="G26" s="131" t="s">
        <v>57</v>
      </c>
      <c r="H26" s="132" t="s">
        <v>20</v>
      </c>
    </row>
    <row r="27" spans="1:9" x14ac:dyDescent="0.25">
      <c r="A27" s="75"/>
      <c r="B27" s="76"/>
      <c r="C27" s="77"/>
      <c r="D27" s="78"/>
      <c r="E27" s="79"/>
      <c r="F27" s="79"/>
      <c r="G27" s="53" t="e" cm="1">
        <f t="array" ref="G27">_xlfn.IFS(Administrative17667176818691961011061111161231281331381431481531585196212631364146515661[[#This Row],[Unit]]="Program-wide",((_xlfn.IFS(Administrative17667176818691961011061111161231281331381431481531585196212631364146515661[[#This Row],[Frequency]]="Per Year",Administrative17667176818691961011061111161231281331381431481531585196212631364146515661[[#This Row],[Cost]]/12,Administrative17667176818691961011061111161231281331381431481531585196212631364146515661[[#This Row],[Frequency]]="Per month",Administrative17667176818691961011061111161231281331381431481531585196212631364146515661[[#This Row],[Cost]],Administrative17667176818691961011061111161231281331381431481531585196212631364146515661[[#This Row],[Frequency]]="Per day",Administrative17667176818691961011061111161231281331381431481531585196212631364146515661[[#This Row],[Cost]]*30,Administrative17667176818691961011061111161231281331381431481531585196212631364146515661[[#This Row],[Frequency]]="One-time",Administrative17667176818691961011061111161231281331381431481531585196212631364146515661[[#This Row],[Cost]]/SUM(C18,C19)))/$C$17),Administrative17667176818691961011061111161231281331381431481531585196212631364146515661[[#This Row],[Unit]]="Per unit/space/household",(_xlfn.IFS(Administrative17667176818691961011061111161231281331381431481531585196212631364146515661[[#This Row],[Frequency]]="Per Year",Administrative17667176818691961011061111161231281331381431481531585196212631364146515661[[#This Row],[Cost]]/12,Administrative17667176818691961011061111161231281331381431481531585196212631364146515661[[#This Row],[Frequency]]="Per month",Administrative17667176818691961011061111161231281331381431481531585196212631364146515661[[#This Row],[Cost]],Administrative17667176818691961011061111161231281331381431481531585196212631364146515661[[#This Row],[Frequency]]="Per day",Administrative17667176818691961011061111161231281331381431481531585196212631364146515661[[#This Row],[Cost]]*30,Administrative17667176818691961011061111161231281331381431481531585196212631364146515661[[#This Row],[Frequency]]="One-time",Administrative17667176818691961011061111161231281331381431481531585196212631364146515661[[#This Row],[Cost]]/SUM($C$18,$C$19))))</f>
        <v>#N/A</v>
      </c>
      <c r="H27" s="46" t="e">
        <f>Administrative17667176818691961011061111161231281331381431481531585196212631364146515661[[#This Row],[Monthly Cost Per Unit]]*12</f>
        <v>#N/A</v>
      </c>
    </row>
    <row r="28" spans="1:9" x14ac:dyDescent="0.25">
      <c r="A28" s="75"/>
      <c r="B28" s="76"/>
      <c r="C28" s="77"/>
      <c r="D28" s="78"/>
      <c r="E28" s="79"/>
      <c r="F28" s="79"/>
      <c r="G28" s="53" t="e" cm="1">
        <f t="array" ref="G28">_xlfn.IFS(Administrative17667176818691961011061111161231281331381431481531585196212631364146515661[[#This Row],[Unit]]="Program-wide",((_xlfn.IFS(Administrative17667176818691961011061111161231281331381431481531585196212631364146515661[[#This Row],[Frequency]]="Per Year",Administrative17667176818691961011061111161231281331381431481531585196212631364146515661[[#This Row],[Cost]]/12,Administrative17667176818691961011061111161231281331381431481531585196212631364146515661[[#This Row],[Frequency]]="Per month",Administrative17667176818691961011061111161231281331381431481531585196212631364146515661[[#This Row],[Cost]],Administrative17667176818691961011061111161231281331381431481531585196212631364146515661[[#This Row],[Frequency]]="Per day",Administrative17667176818691961011061111161231281331381431481531585196212631364146515661[[#This Row],[Cost]]*30,Administrative17667176818691961011061111161231281331381431481531585196212631364146515661[[#This Row],[Frequency]]="One-time",Administrative17667176818691961011061111161231281331381431481531585196212631364146515661[[#This Row],[Cost]]/SUM(C18,C19)))/$C$17),Administrative17667176818691961011061111161231281331381431481531585196212631364146515661[[#This Row],[Unit]]="Per unit/space/household",(_xlfn.IFS(Administrative17667176818691961011061111161231281331381431481531585196212631364146515661[[#This Row],[Frequency]]="Per Year",Administrative17667176818691961011061111161231281331381431481531585196212631364146515661[[#This Row],[Cost]]/12,Administrative17667176818691961011061111161231281331381431481531585196212631364146515661[[#This Row],[Frequency]]="Per month",Administrative17667176818691961011061111161231281331381431481531585196212631364146515661[[#This Row],[Cost]],Administrative17667176818691961011061111161231281331381431481531585196212631364146515661[[#This Row],[Frequency]]="Per day",Administrative17667176818691961011061111161231281331381431481531585196212631364146515661[[#This Row],[Cost]]*30,Administrative17667176818691961011061111161231281331381431481531585196212631364146515661[[#This Row],[Frequency]]="One-time",Administrative17667176818691961011061111161231281331381431481531585196212631364146515661[[#This Row],[Cost]]/SUM($C$18,$C$19))))</f>
        <v>#N/A</v>
      </c>
      <c r="H28" s="46" t="e">
        <f>Administrative17667176818691961011061111161231281331381431481531585196212631364146515661[[#This Row],[Monthly Cost Per Unit]]*12</f>
        <v>#N/A</v>
      </c>
    </row>
    <row r="29" spans="1:9" x14ac:dyDescent="0.25">
      <c r="A29" s="75"/>
      <c r="B29" s="76"/>
      <c r="C29" s="77"/>
      <c r="D29" s="78"/>
      <c r="E29" s="79"/>
      <c r="F29" s="79"/>
      <c r="G29" s="53" t="e" cm="1">
        <f t="array" ref="G29">_xlfn.IFS(Administrative17667176818691961011061111161231281331381431481531585196212631364146515661[[#This Row],[Unit]]="Program-wide",((_xlfn.IFS(Administrative17667176818691961011061111161231281331381431481531585196212631364146515661[[#This Row],[Frequency]]="Per Year",Administrative17667176818691961011061111161231281331381431481531585196212631364146515661[[#This Row],[Cost]]/12,Administrative17667176818691961011061111161231281331381431481531585196212631364146515661[[#This Row],[Frequency]]="Per month",Administrative17667176818691961011061111161231281331381431481531585196212631364146515661[[#This Row],[Cost]],Administrative17667176818691961011061111161231281331381431481531585196212631364146515661[[#This Row],[Frequency]]="Per day",Administrative17667176818691961011061111161231281331381431481531585196212631364146515661[[#This Row],[Cost]]*30,Administrative17667176818691961011061111161231281331381431481531585196212631364146515661[[#This Row],[Frequency]]="One-time",Administrative17667176818691961011061111161231281331381431481531585196212631364146515661[[#This Row],[Cost]]/SUM(C18,C19)))/$C$17),Administrative17667176818691961011061111161231281331381431481531585196212631364146515661[[#This Row],[Unit]]="Per unit/space/household",(_xlfn.IFS(Administrative17667176818691961011061111161231281331381431481531585196212631364146515661[[#This Row],[Frequency]]="Per Year",Administrative17667176818691961011061111161231281331381431481531585196212631364146515661[[#This Row],[Cost]]/12,Administrative17667176818691961011061111161231281331381431481531585196212631364146515661[[#This Row],[Frequency]]="Per month",Administrative17667176818691961011061111161231281331381431481531585196212631364146515661[[#This Row],[Cost]],Administrative17667176818691961011061111161231281331381431481531585196212631364146515661[[#This Row],[Frequency]]="Per day",Administrative17667176818691961011061111161231281331381431481531585196212631364146515661[[#This Row],[Cost]]*30,Administrative17667176818691961011061111161231281331381431481531585196212631364146515661[[#This Row],[Frequency]]="One-time",Administrative17667176818691961011061111161231281331381431481531585196212631364146515661[[#This Row],[Cost]]/SUM($C$18,$C$19))))</f>
        <v>#N/A</v>
      </c>
      <c r="H29" s="46" t="e">
        <f>Administrative17667176818691961011061111161231281331381431481531585196212631364146515661[[#This Row],[Monthly Cost Per Unit]]*12</f>
        <v>#N/A</v>
      </c>
    </row>
    <row r="30" spans="1:9" x14ac:dyDescent="0.25">
      <c r="A30" s="75"/>
      <c r="B30" s="76"/>
      <c r="C30" s="77"/>
      <c r="D30" s="78"/>
      <c r="E30" s="79"/>
      <c r="F30" s="79"/>
      <c r="G30" s="53" t="e" cm="1">
        <f t="array" ref="G30">_xlfn.IFS(Administrative17667176818691961011061111161231281331381431481531585196212631364146515661[[#This Row],[Unit]]="Program-wide",((_xlfn.IFS(Administrative17667176818691961011061111161231281331381431481531585196212631364146515661[[#This Row],[Frequency]]="Per Year",Administrative17667176818691961011061111161231281331381431481531585196212631364146515661[[#This Row],[Cost]]/12,Administrative17667176818691961011061111161231281331381431481531585196212631364146515661[[#This Row],[Frequency]]="Per month",Administrative17667176818691961011061111161231281331381431481531585196212631364146515661[[#This Row],[Cost]],Administrative17667176818691961011061111161231281331381431481531585196212631364146515661[[#This Row],[Frequency]]="Per day",Administrative17667176818691961011061111161231281331381431481531585196212631364146515661[[#This Row],[Cost]]*30,Administrative17667176818691961011061111161231281331381431481531585196212631364146515661[[#This Row],[Frequency]]="One-time",Administrative17667176818691961011061111161231281331381431481531585196212631364146515661[[#This Row],[Cost]]/SUM(C18,C19)))/$C$17),Administrative17667176818691961011061111161231281331381431481531585196212631364146515661[[#This Row],[Unit]]="Per unit/space/household",(_xlfn.IFS(Administrative17667176818691961011061111161231281331381431481531585196212631364146515661[[#This Row],[Frequency]]="Per Year",Administrative17667176818691961011061111161231281331381431481531585196212631364146515661[[#This Row],[Cost]]/12,Administrative17667176818691961011061111161231281331381431481531585196212631364146515661[[#This Row],[Frequency]]="Per month",Administrative17667176818691961011061111161231281331381431481531585196212631364146515661[[#This Row],[Cost]],Administrative17667176818691961011061111161231281331381431481531585196212631364146515661[[#This Row],[Frequency]]="Per day",Administrative17667176818691961011061111161231281331381431481531585196212631364146515661[[#This Row],[Cost]]*30,Administrative17667176818691961011061111161231281331381431481531585196212631364146515661[[#This Row],[Frequency]]="One-time",Administrative17667176818691961011061111161231281331381431481531585196212631364146515661[[#This Row],[Cost]]/SUM($C$18,$C$19))))</f>
        <v>#N/A</v>
      </c>
      <c r="H30" s="46" t="e">
        <f>Administrative17667176818691961011061111161231281331381431481531585196212631364146515661[[#This Row],[Monthly Cost Per Unit]]*12</f>
        <v>#N/A</v>
      </c>
    </row>
    <row r="31" spans="1:9" s="1" customFormat="1" x14ac:dyDescent="0.25">
      <c r="A31" s="80"/>
      <c r="B31" s="81"/>
      <c r="C31" s="82"/>
      <c r="D31" s="83"/>
      <c r="E31" s="84"/>
      <c r="F31" s="84"/>
      <c r="G31" s="54" t="e" cm="1">
        <f t="array" ref="G31">_xlfn.IFS(Administrative17667176818691961011061111161231281331381431481531585196212631364146515661[[#This Row],[Unit]]="Program-wide",((_xlfn.IFS(Administrative17667176818691961011061111161231281331381431481531585196212631364146515661[[#This Row],[Frequency]]="Per Year",Administrative17667176818691961011061111161231281331381431481531585196212631364146515661[[#This Row],[Cost]]/12,Administrative17667176818691961011061111161231281331381431481531585196212631364146515661[[#This Row],[Frequency]]="Per month",Administrative17667176818691961011061111161231281331381431481531585196212631364146515661[[#This Row],[Cost]],Administrative17667176818691961011061111161231281331381431481531585196212631364146515661[[#This Row],[Frequency]]="Per day",Administrative17667176818691961011061111161231281331381431481531585196212631364146515661[[#This Row],[Cost]]*30,Administrative17667176818691961011061111161231281331381431481531585196212631364146515661[[#This Row],[Frequency]]="One-time",Administrative17667176818691961011061111161231281331381431481531585196212631364146515661[[#This Row],[Cost]]/SUM(C18,C19)))/$C$17),Administrative17667176818691961011061111161231281331381431481531585196212631364146515661[[#This Row],[Unit]]="Per unit/space/household",(_xlfn.IFS(Administrative17667176818691961011061111161231281331381431481531585196212631364146515661[[#This Row],[Frequency]]="Per Year",Administrative17667176818691961011061111161231281331381431481531585196212631364146515661[[#This Row],[Cost]]/12,Administrative17667176818691961011061111161231281331381431481531585196212631364146515661[[#This Row],[Frequency]]="Per month",Administrative17667176818691961011061111161231281331381431481531585196212631364146515661[[#This Row],[Cost]],Administrative17667176818691961011061111161231281331381431481531585196212631364146515661[[#This Row],[Frequency]]="Per day",Administrative17667176818691961011061111161231281331381431481531585196212631364146515661[[#This Row],[Cost]]*30,Administrative17667176818691961011061111161231281331381431481531585196212631364146515661[[#This Row],[Frequency]]="One-time",Administrative17667176818691961011061111161231281331381431481531585196212631364146515661[[#This Row],[Cost]]/SUM($C$18,$C$19))))</f>
        <v>#N/A</v>
      </c>
      <c r="H31" s="46" t="e">
        <f>Administrative17667176818691961011061111161231281331381431481531585196212631364146515661[[#This Row],[Monthly Cost Per Unit]]*12</f>
        <v>#N/A</v>
      </c>
      <c r="I31"/>
    </row>
    <row r="32" spans="1:9" x14ac:dyDescent="0.25">
      <c r="A32" s="107" t="s">
        <v>20</v>
      </c>
      <c r="B32" s="107"/>
      <c r="C32" s="108" t="s">
        <v>68</v>
      </c>
      <c r="D32" s="109"/>
      <c r="E32" s="108"/>
      <c r="F32" s="108"/>
      <c r="G32" s="110"/>
      <c r="H32" s="111">
        <f>(SUMIF(Administrative17667176818691961011061111161231281331381431481531585196212631364146515661[Duration],"While homeless only",Administrative17667176818691961011061111161231281331381431481531585196212631364146515661[Monthly Cost Per Unit]))*12</f>
        <v>0</v>
      </c>
    </row>
    <row r="33" spans="1:8" x14ac:dyDescent="0.25">
      <c r="A33" s="112"/>
      <c r="B33" s="112"/>
      <c r="C33" s="108" t="s">
        <v>63</v>
      </c>
      <c r="D33" s="109"/>
      <c r="E33" s="108"/>
      <c r="F33" s="108"/>
      <c r="G33" s="110"/>
      <c r="H33" s="111">
        <f>(SUMIF(Administrative17667176818691961011061111161231281331381431481531585196212631364146515661[Duration],"While housed only",Administrative17667176818691961011061111161231281331381431481531585196212631364146515661[Monthly Cost Per Unit]))*12</f>
        <v>0</v>
      </c>
    </row>
    <row r="34" spans="1:8" x14ac:dyDescent="0.25">
      <c r="A34" s="112"/>
      <c r="B34" s="112"/>
      <c r="C34" s="108" t="s">
        <v>58</v>
      </c>
      <c r="D34" s="109"/>
      <c r="E34" s="108"/>
      <c r="F34" s="108"/>
      <c r="G34" s="110"/>
      <c r="H34" s="111">
        <f>(SUMIF(Administrative17667176818691961011061111161231281331381431481531585196212631364146515661[Duration],"Homeless &amp; housed",Administrative17667176818691961011061111161231281331381431481531585196212631364146515661[Monthly Cost Per Unit]))*12</f>
        <v>0</v>
      </c>
    </row>
    <row r="35" spans="1:8" ht="15.75" thickBot="1" x14ac:dyDescent="0.3">
      <c r="A35" s="113"/>
      <c r="B35" s="113"/>
      <c r="C35" s="114" t="s">
        <v>207</v>
      </c>
      <c r="D35" s="115"/>
      <c r="E35" s="114"/>
      <c r="F35" s="114"/>
      <c r="G35" s="116"/>
      <c r="H35" s="117">
        <f>(SUMIF(Administrative17667176818691961011061111161231281331381431481531585196212631364146515661[Duration],"N/A",Administrative17667176818691961011061111161231281331381431481531585196212631364146515661[Monthly Cost Per Unit]))*12</f>
        <v>0</v>
      </c>
    </row>
    <row r="36" spans="1:8" ht="16.5" thickTop="1" thickBot="1" x14ac:dyDescent="0.3">
      <c r="A36" s="113"/>
      <c r="B36" s="113"/>
      <c r="C36" s="114" t="s">
        <v>42</v>
      </c>
      <c r="D36" s="115"/>
      <c r="E36" s="114"/>
      <c r="F36" s="114"/>
      <c r="G36" s="133"/>
      <c r="H36" s="117">
        <f>SUM(H32:H35)</f>
        <v>0</v>
      </c>
    </row>
    <row r="37" spans="1:8" ht="15.75" thickTop="1" x14ac:dyDescent="0.25">
      <c r="A37" s="10"/>
      <c r="B37" s="10"/>
      <c r="C37" s="10"/>
      <c r="D37" s="10"/>
      <c r="F37" s="129"/>
      <c r="G37" s="129"/>
    </row>
    <row r="38" spans="1:8" x14ac:dyDescent="0.25">
      <c r="A38" s="274" t="s">
        <v>61</v>
      </c>
      <c r="B38" s="274"/>
      <c r="C38" s="274"/>
      <c r="D38" s="274"/>
      <c r="E38" s="274"/>
      <c r="F38" s="274"/>
      <c r="G38" s="274"/>
      <c r="H38" s="274"/>
    </row>
    <row r="39" spans="1:8" ht="30" customHeight="1" outlineLevel="1" x14ac:dyDescent="0.25">
      <c r="A39" s="294" t="s">
        <v>62</v>
      </c>
      <c r="B39" s="294"/>
      <c r="C39" s="294"/>
      <c r="D39" s="294"/>
      <c r="E39" s="294"/>
      <c r="F39" s="294"/>
      <c r="G39" s="294"/>
      <c r="H39" s="294"/>
    </row>
    <row r="40" spans="1:8" s="3" customFormat="1" ht="28.35" customHeight="1" x14ac:dyDescent="0.25">
      <c r="A40" s="131" t="s">
        <v>51</v>
      </c>
      <c r="B40" s="131" t="s">
        <v>52</v>
      </c>
      <c r="C40" s="131" t="s">
        <v>53</v>
      </c>
      <c r="D40" s="131" t="s">
        <v>54</v>
      </c>
      <c r="E40" s="131" t="s">
        <v>55</v>
      </c>
      <c r="F40" s="131" t="s">
        <v>56</v>
      </c>
      <c r="G40" s="131" t="s">
        <v>57</v>
      </c>
      <c r="H40" s="132" t="s">
        <v>20</v>
      </c>
    </row>
    <row r="41" spans="1:8" x14ac:dyDescent="0.25">
      <c r="A41" s="75"/>
      <c r="B41" s="76"/>
      <c r="C41" s="88"/>
      <c r="D41" s="89"/>
      <c r="E41" s="79"/>
      <c r="F41" s="79"/>
      <c r="G41" s="53" t="e" cm="1">
        <f t="array" ref="G41">_xlfn.IFS(Operations18677277828792971021071121171241291341391441491541595297222732374247525762[[#This Row],[Unit]]="Program-wide",((_xlfn.IFS(Operations18677277828792971021071121171241291341391441491541595297222732374247525762[[#This Row],[Frequency]]="Per Year",Operations18677277828792971021071121171241291341391441491541595297222732374247525762[[#This Row],[Cost]]/12,Operations18677277828792971021071121171241291341391441491541595297222732374247525762[[#This Row],[Frequency]]="Per month",Operations18677277828792971021071121171241291341391441491541595297222732374247525762[[#This Row],[Cost]],Operations18677277828792971021071121171241291341391441491541595297222732374247525762[[#This Row],[Frequency]]="Per day",Operations18677277828792971021071121171241291341391441491541595297222732374247525762[[#This Row],[Cost]]*30,Operations18677277828792971021071121171241291341391441491541595297222732374247525762[[#This Row],[Frequency]]="One-time",Operations18677277828792971021071121171241291341391441491541595297222732374247525762[[#This Row],[Cost]]/SUM(C18,C19)))/$C$17),Operations18677277828792971021071121171241291341391441491541595297222732374247525762[[#This Row],[Unit]]="Per unit/space/household",(_xlfn.IFS(Operations18677277828792971021071121171241291341391441491541595297222732374247525762[[#This Row],[Frequency]]="Per Year",Operations18677277828792971021071121171241291341391441491541595297222732374247525762[[#This Row],[Cost]]/12,Operations18677277828792971021071121171241291341391441491541595297222732374247525762[[#This Row],[Frequency]]="Per month",Operations18677277828792971021071121171241291341391441491541595297222732374247525762[[#This Row],[Cost]],Operations18677277828792971021071121171241291341391441491541595297222732374247525762[[#This Row],[Frequency]]="Per day",Operations18677277828792971021071121171241291341391441491541595297222732374247525762[[#This Row],[Cost]]*30,Operations18677277828792971021071121171241291341391441491541595297222732374247525762[[#This Row],[Frequency]]="One-time",Operations18677277828792971021071121171241291341391441491541595297222732374247525762[[#This Row],[Cost]]/SUM($C$18,$C$19))))</f>
        <v>#N/A</v>
      </c>
      <c r="H41" s="46" t="e">
        <f>Operations18677277828792971021071121171241291341391441491541595297222732374247525762[[#This Row],[Monthly Cost Per Unit]]*12</f>
        <v>#N/A</v>
      </c>
    </row>
    <row r="42" spans="1:8" x14ac:dyDescent="0.25">
      <c r="A42" s="75"/>
      <c r="B42" s="76"/>
      <c r="C42" s="77"/>
      <c r="D42" s="78"/>
      <c r="E42" s="79"/>
      <c r="F42" s="79"/>
      <c r="G42" s="53" t="e" cm="1">
        <f t="array" ref="G42">_xlfn.IFS(Operations18677277828792971021071121171241291341391441491541595297222732374247525762[[#This Row],[Unit]]="Program-wide",((_xlfn.IFS(Operations18677277828792971021071121171241291341391441491541595297222732374247525762[[#This Row],[Frequency]]="Per Year",Operations18677277828792971021071121171241291341391441491541595297222732374247525762[[#This Row],[Cost]]/12,Operations18677277828792971021071121171241291341391441491541595297222732374247525762[[#This Row],[Frequency]]="Per month",Operations18677277828792971021071121171241291341391441491541595297222732374247525762[[#This Row],[Cost]],Operations18677277828792971021071121171241291341391441491541595297222732374247525762[[#This Row],[Frequency]]="Per day",Operations18677277828792971021071121171241291341391441491541595297222732374247525762[[#This Row],[Cost]]*30,Operations18677277828792971021071121171241291341391441491541595297222732374247525762[[#This Row],[Frequency]]="One-time",Operations18677277828792971021071121171241291341391441491541595297222732374247525762[[#This Row],[Cost]]/SUM($C$18,$C$19)))/$C$17),Operations18677277828792971021071121171241291341391441491541595297222732374247525762[[#This Row],[Unit]]="Per unit/space/household",(_xlfn.IFS(Operations18677277828792971021071121171241291341391441491541595297222732374247525762[[#This Row],[Frequency]]="Per Year",Operations18677277828792971021071121171241291341391441491541595297222732374247525762[[#This Row],[Cost]]/12,Operations18677277828792971021071121171241291341391441491541595297222732374247525762[[#This Row],[Frequency]]="Per month",Operations18677277828792971021071121171241291341391441491541595297222732374247525762[[#This Row],[Cost]],Operations18677277828792971021071121171241291341391441491541595297222732374247525762[[#This Row],[Frequency]]="Per day",Operations18677277828792971021071121171241291341391441491541595297222732374247525762[[#This Row],[Cost]]*30,Operations18677277828792971021071121171241291341391441491541595297222732374247525762[[#This Row],[Frequency]]="One-time",Operations18677277828792971021071121171241291341391441491541595297222732374247525762[[#This Row],[Cost]]/SUM($C$18,$C$19))))</f>
        <v>#N/A</v>
      </c>
      <c r="H42" s="46" t="e">
        <f>Operations18677277828792971021071121171241291341391441491541595297222732374247525762[[#This Row],[Monthly Cost Per Unit]]*12</f>
        <v>#N/A</v>
      </c>
    </row>
    <row r="43" spans="1:8" x14ac:dyDescent="0.25">
      <c r="A43" s="75"/>
      <c r="B43" s="76"/>
      <c r="C43" s="77"/>
      <c r="D43" s="78"/>
      <c r="E43" s="79"/>
      <c r="F43" s="79"/>
      <c r="G43" s="53" t="e" cm="1">
        <f t="array" ref="G43">_xlfn.IFS(Operations18677277828792971021071121171241291341391441491541595297222732374247525762[[#This Row],[Unit]]="Program-wide",((_xlfn.IFS(Operations18677277828792971021071121171241291341391441491541595297222732374247525762[[#This Row],[Frequency]]="Per Year",Operations18677277828792971021071121171241291341391441491541595297222732374247525762[[#This Row],[Cost]]/12,Operations18677277828792971021071121171241291341391441491541595297222732374247525762[[#This Row],[Frequency]]="Per month",Operations18677277828792971021071121171241291341391441491541595297222732374247525762[[#This Row],[Cost]],Operations18677277828792971021071121171241291341391441491541595297222732374247525762[[#This Row],[Frequency]]="Per day",Operations18677277828792971021071121171241291341391441491541595297222732374247525762[[#This Row],[Cost]]*30,Operations18677277828792971021071121171241291341391441491541595297222732374247525762[[#This Row],[Frequency]]="One-time",Operations18677277828792971021071121171241291341391441491541595297222732374247525762[[#This Row],[Cost]]/SUM($C$18,$C$19)))/$C$17),Operations18677277828792971021071121171241291341391441491541595297222732374247525762[[#This Row],[Unit]]="Per unit/space/household",(_xlfn.IFS(Operations18677277828792971021071121171241291341391441491541595297222732374247525762[[#This Row],[Frequency]]="Per Year",Operations18677277828792971021071121171241291341391441491541595297222732374247525762[[#This Row],[Cost]]/12,Operations18677277828792971021071121171241291341391441491541595297222732374247525762[[#This Row],[Frequency]]="Per month",Operations18677277828792971021071121171241291341391441491541595297222732374247525762[[#This Row],[Cost]],Operations18677277828792971021071121171241291341391441491541595297222732374247525762[[#This Row],[Frequency]]="Per day",Operations18677277828792971021071121171241291341391441491541595297222732374247525762[[#This Row],[Cost]]*30,Operations18677277828792971021071121171241291341391441491541595297222732374247525762[[#This Row],[Frequency]]="One-time",Operations18677277828792971021071121171241291341391441491541595297222732374247525762[[#This Row],[Cost]]/SUM($C$18,$C$19))))</f>
        <v>#N/A</v>
      </c>
      <c r="H43" s="46" t="e">
        <f>Operations18677277828792971021071121171241291341391441491541595297222732374247525762[[#This Row],[Monthly Cost Per Unit]]*12</f>
        <v>#N/A</v>
      </c>
    </row>
    <row r="44" spans="1:8" x14ac:dyDescent="0.25">
      <c r="A44" s="75"/>
      <c r="B44" s="76"/>
      <c r="C44" s="77"/>
      <c r="D44" s="78"/>
      <c r="E44" s="79"/>
      <c r="F44" s="79"/>
      <c r="G44" s="53" t="e" cm="1">
        <f t="array" ref="G44">_xlfn.IFS(Operations18677277828792971021071121171241291341391441491541595297222732374247525762[[#This Row],[Unit]]="Program-wide",((_xlfn.IFS(Operations18677277828792971021071121171241291341391441491541595297222732374247525762[[#This Row],[Frequency]]="Per Year",Operations18677277828792971021071121171241291341391441491541595297222732374247525762[[#This Row],[Cost]]/12,Operations18677277828792971021071121171241291341391441491541595297222732374247525762[[#This Row],[Frequency]]="Per month",Operations18677277828792971021071121171241291341391441491541595297222732374247525762[[#This Row],[Cost]],Operations18677277828792971021071121171241291341391441491541595297222732374247525762[[#This Row],[Frequency]]="Per day",Operations18677277828792971021071121171241291341391441491541595297222732374247525762[[#This Row],[Cost]]*30,Operations18677277828792971021071121171241291341391441491541595297222732374247525762[[#This Row],[Frequency]]="One-time",Operations18677277828792971021071121171241291341391441491541595297222732374247525762[[#This Row],[Cost]]/SUM($C$18,$C$19)))/$C$17),Operations18677277828792971021071121171241291341391441491541595297222732374247525762[[#This Row],[Unit]]="Per unit/space/household",(_xlfn.IFS(Operations18677277828792971021071121171241291341391441491541595297222732374247525762[[#This Row],[Frequency]]="Per Year",Operations18677277828792971021071121171241291341391441491541595297222732374247525762[[#This Row],[Cost]]/12,Operations18677277828792971021071121171241291341391441491541595297222732374247525762[[#This Row],[Frequency]]="Per month",Operations18677277828792971021071121171241291341391441491541595297222732374247525762[[#This Row],[Cost]],Operations18677277828792971021071121171241291341391441491541595297222732374247525762[[#This Row],[Frequency]]="Per day",Operations18677277828792971021071121171241291341391441491541595297222732374247525762[[#This Row],[Cost]]*30,Operations18677277828792971021071121171241291341391441491541595297222732374247525762[[#This Row],[Frequency]]="One-time",Operations18677277828792971021071121171241291341391441491541595297222732374247525762[[#This Row],[Cost]]/SUM($C$18,$C$19))))</f>
        <v>#N/A</v>
      </c>
      <c r="H44" s="46" t="e">
        <f>Operations18677277828792971021071121171241291341391441491541595297222732374247525762[[#This Row],[Monthly Cost Per Unit]]*12</f>
        <v>#N/A</v>
      </c>
    </row>
    <row r="45" spans="1:8" x14ac:dyDescent="0.25">
      <c r="A45" s="75"/>
      <c r="B45" s="76"/>
      <c r="C45" s="77"/>
      <c r="D45" s="78"/>
      <c r="E45" s="79"/>
      <c r="F45" s="79"/>
      <c r="G45" s="53" t="e" cm="1">
        <f t="array" ref="G45">_xlfn.IFS(Operations18677277828792971021071121171241291341391441491541595297222732374247525762[[#This Row],[Unit]]="Program-wide",((_xlfn.IFS(Operations18677277828792971021071121171241291341391441491541595297222732374247525762[[#This Row],[Frequency]]="Per Year",Operations18677277828792971021071121171241291341391441491541595297222732374247525762[[#This Row],[Cost]]/12,Operations18677277828792971021071121171241291341391441491541595297222732374247525762[[#This Row],[Frequency]]="Per month",Operations18677277828792971021071121171241291341391441491541595297222732374247525762[[#This Row],[Cost]],Operations18677277828792971021071121171241291341391441491541595297222732374247525762[[#This Row],[Frequency]]="Per day",Operations18677277828792971021071121171241291341391441491541595297222732374247525762[[#This Row],[Cost]]*30,Operations18677277828792971021071121171241291341391441491541595297222732374247525762[[#This Row],[Frequency]]="One-time",Operations18677277828792971021071121171241291341391441491541595297222732374247525762[[#This Row],[Cost]]/SUM($C$18,$C$19)))/$C$17),Operations18677277828792971021071121171241291341391441491541595297222732374247525762[[#This Row],[Unit]]="Per unit/space/household",(_xlfn.IFS(Operations18677277828792971021071121171241291341391441491541595297222732374247525762[[#This Row],[Frequency]]="Per Year",Operations18677277828792971021071121171241291341391441491541595297222732374247525762[[#This Row],[Cost]]/12,Operations18677277828792971021071121171241291341391441491541595297222732374247525762[[#This Row],[Frequency]]="Per month",Operations18677277828792971021071121171241291341391441491541595297222732374247525762[[#This Row],[Cost]],Operations18677277828792971021071121171241291341391441491541595297222732374247525762[[#This Row],[Frequency]]="Per day",Operations18677277828792971021071121171241291341391441491541595297222732374247525762[[#This Row],[Cost]]*30,Operations18677277828792971021071121171241291341391441491541595297222732374247525762[[#This Row],[Frequency]]="One-time",Operations18677277828792971021071121171241291341391441491541595297222732374247525762[[#This Row],[Cost]]/SUM($C$18,$C$19))))</f>
        <v>#N/A</v>
      </c>
      <c r="H45" s="46" t="e">
        <f>Operations18677277828792971021071121171241291341391441491541595297222732374247525762[[#This Row],[Monthly Cost Per Unit]]*12</f>
        <v>#N/A</v>
      </c>
    </row>
    <row r="46" spans="1:8" x14ac:dyDescent="0.25">
      <c r="A46" s="75"/>
      <c r="B46" s="76"/>
      <c r="C46" s="77"/>
      <c r="D46" s="78"/>
      <c r="E46" s="79"/>
      <c r="F46" s="79"/>
      <c r="G46" s="53" t="e" cm="1">
        <f t="array" ref="G46">_xlfn.IFS(Operations18677277828792971021071121171241291341391441491541595297222732374247525762[[#This Row],[Unit]]="Program-wide",((_xlfn.IFS(Operations18677277828792971021071121171241291341391441491541595297222732374247525762[[#This Row],[Frequency]]="Per Year",Operations18677277828792971021071121171241291341391441491541595297222732374247525762[[#This Row],[Cost]]/12,Operations18677277828792971021071121171241291341391441491541595297222732374247525762[[#This Row],[Frequency]]="Per month",Operations18677277828792971021071121171241291341391441491541595297222732374247525762[[#This Row],[Cost]],Operations18677277828792971021071121171241291341391441491541595297222732374247525762[[#This Row],[Frequency]]="Per day",Operations18677277828792971021071121171241291341391441491541595297222732374247525762[[#This Row],[Cost]]*30,Operations18677277828792971021071121171241291341391441491541595297222732374247525762[[#This Row],[Frequency]]="One-time",Operations18677277828792971021071121171241291341391441491541595297222732374247525762[[#This Row],[Cost]]/SUM($C$18,$C$19)))/$C$17),Operations18677277828792971021071121171241291341391441491541595297222732374247525762[[#This Row],[Unit]]="Per unit/space/household",(_xlfn.IFS(Operations18677277828792971021071121171241291341391441491541595297222732374247525762[[#This Row],[Frequency]]="Per Year",Operations18677277828792971021071121171241291341391441491541595297222732374247525762[[#This Row],[Cost]]/12,Operations18677277828792971021071121171241291341391441491541595297222732374247525762[[#This Row],[Frequency]]="Per month",Operations18677277828792971021071121171241291341391441491541595297222732374247525762[[#This Row],[Cost]],Operations18677277828792971021071121171241291341391441491541595297222732374247525762[[#This Row],[Frequency]]="Per day",Operations18677277828792971021071121171241291341391441491541595297222732374247525762[[#This Row],[Cost]]*30,Operations18677277828792971021071121171241291341391441491541595297222732374247525762[[#This Row],[Frequency]]="One-time",Operations18677277828792971021071121171241291341391441491541595297222732374247525762[[#This Row],[Cost]]/SUM($C$18,$C$19))))</f>
        <v>#N/A</v>
      </c>
      <c r="H46" s="46" t="e">
        <f>Operations18677277828792971021071121171241291341391441491541595297222732374247525762[[#This Row],[Monthly Cost Per Unit]]*12</f>
        <v>#N/A</v>
      </c>
    </row>
    <row r="47" spans="1:8" x14ac:dyDescent="0.25">
      <c r="A47" s="75"/>
      <c r="B47" s="76"/>
      <c r="C47" s="77"/>
      <c r="D47" s="78"/>
      <c r="E47" s="79"/>
      <c r="F47" s="79"/>
      <c r="G47" s="53" t="e" cm="1">
        <f t="array" ref="G47">_xlfn.IFS(Operations18677277828792971021071121171241291341391441491541595297222732374247525762[[#This Row],[Unit]]="Program-wide",((_xlfn.IFS(Operations18677277828792971021071121171241291341391441491541595297222732374247525762[[#This Row],[Frequency]]="Per Year",Operations18677277828792971021071121171241291341391441491541595297222732374247525762[[#This Row],[Cost]]/12,Operations18677277828792971021071121171241291341391441491541595297222732374247525762[[#This Row],[Frequency]]="Per month",Operations18677277828792971021071121171241291341391441491541595297222732374247525762[[#This Row],[Cost]],Operations18677277828792971021071121171241291341391441491541595297222732374247525762[[#This Row],[Frequency]]="Per day",Operations18677277828792971021071121171241291341391441491541595297222732374247525762[[#This Row],[Cost]]*30,Operations18677277828792971021071121171241291341391441491541595297222732374247525762[[#This Row],[Frequency]]="One-time",Operations18677277828792971021071121171241291341391441491541595297222732374247525762[[#This Row],[Cost]]/SUM($C$18,$C$19)))/$C$17),Operations18677277828792971021071121171241291341391441491541595297222732374247525762[[#This Row],[Unit]]="Per unit/space/household",(_xlfn.IFS(Operations18677277828792971021071121171241291341391441491541595297222732374247525762[[#This Row],[Frequency]]="Per Year",Operations18677277828792971021071121171241291341391441491541595297222732374247525762[[#This Row],[Cost]]/12,Operations18677277828792971021071121171241291341391441491541595297222732374247525762[[#This Row],[Frequency]]="Per month",Operations18677277828792971021071121171241291341391441491541595297222732374247525762[[#This Row],[Cost]],Operations18677277828792971021071121171241291341391441491541595297222732374247525762[[#This Row],[Frequency]]="Per day",Operations18677277828792971021071121171241291341391441491541595297222732374247525762[[#This Row],[Cost]]*30,Operations18677277828792971021071121171241291341391441491541595297222732374247525762[[#This Row],[Frequency]]="One-time",Operations18677277828792971021071121171241291341391441491541595297222732374247525762[[#This Row],[Cost]]/SUM($C$18,$C$19))))</f>
        <v>#N/A</v>
      </c>
      <c r="H47" s="46" t="e">
        <f>Operations18677277828792971021071121171241291341391441491541595297222732374247525762[[#This Row],[Monthly Cost Per Unit]]*12</f>
        <v>#N/A</v>
      </c>
    </row>
    <row r="48" spans="1:8" x14ac:dyDescent="0.25">
      <c r="A48" s="75"/>
      <c r="B48" s="76"/>
      <c r="C48" s="77"/>
      <c r="D48" s="78"/>
      <c r="E48" s="79"/>
      <c r="F48" s="79"/>
      <c r="G48" s="53" t="e" cm="1">
        <f t="array" ref="G48">_xlfn.IFS(Operations18677277828792971021071121171241291341391441491541595297222732374247525762[[#This Row],[Unit]]="Program-wide",((_xlfn.IFS(Operations18677277828792971021071121171241291341391441491541595297222732374247525762[[#This Row],[Frequency]]="Per Year",Operations18677277828792971021071121171241291341391441491541595297222732374247525762[[#This Row],[Cost]]/12,Operations18677277828792971021071121171241291341391441491541595297222732374247525762[[#This Row],[Frequency]]="Per month",Operations18677277828792971021071121171241291341391441491541595297222732374247525762[[#This Row],[Cost]],Operations18677277828792971021071121171241291341391441491541595297222732374247525762[[#This Row],[Frequency]]="Per day",Operations18677277828792971021071121171241291341391441491541595297222732374247525762[[#This Row],[Cost]]*30,Operations18677277828792971021071121171241291341391441491541595297222732374247525762[[#This Row],[Frequency]]="One-time",Operations18677277828792971021071121171241291341391441491541595297222732374247525762[[#This Row],[Cost]]/SUM($C$18,$C$19)))/$C$17),Operations18677277828792971021071121171241291341391441491541595297222732374247525762[[#This Row],[Unit]]="Per unit/space/household",(_xlfn.IFS(Operations18677277828792971021071121171241291341391441491541595297222732374247525762[[#This Row],[Frequency]]="Per Year",Operations18677277828792971021071121171241291341391441491541595297222732374247525762[[#This Row],[Cost]]/12,Operations18677277828792971021071121171241291341391441491541595297222732374247525762[[#This Row],[Frequency]]="Per month",Operations18677277828792971021071121171241291341391441491541595297222732374247525762[[#This Row],[Cost]],Operations18677277828792971021071121171241291341391441491541595297222732374247525762[[#This Row],[Frequency]]="Per day",Operations18677277828792971021071121171241291341391441491541595297222732374247525762[[#This Row],[Cost]]*30,Operations18677277828792971021071121171241291341391441491541595297222732374247525762[[#This Row],[Frequency]]="One-time",Operations18677277828792971021071121171241291341391441491541595297222732374247525762[[#This Row],[Cost]]/SUM($C$18,$C$19))))</f>
        <v>#N/A</v>
      </c>
      <c r="H48" s="46" t="e">
        <f>Operations18677277828792971021071121171241291341391441491541595297222732374247525762[[#This Row],[Monthly Cost Per Unit]]*12</f>
        <v>#N/A</v>
      </c>
    </row>
    <row r="49" spans="1:9" x14ac:dyDescent="0.25">
      <c r="A49" s="75"/>
      <c r="B49" s="76"/>
      <c r="C49" s="77"/>
      <c r="D49" s="78"/>
      <c r="E49" s="79"/>
      <c r="F49" s="79"/>
      <c r="G49" s="53" t="e" cm="1">
        <f t="array" ref="G49">_xlfn.IFS(Operations18677277828792971021071121171241291341391441491541595297222732374247525762[[#This Row],[Unit]]="Program-wide",((_xlfn.IFS(Operations18677277828792971021071121171241291341391441491541595297222732374247525762[[#This Row],[Frequency]]="Per Year",Operations18677277828792971021071121171241291341391441491541595297222732374247525762[[#This Row],[Cost]]/12,Operations18677277828792971021071121171241291341391441491541595297222732374247525762[[#This Row],[Frequency]]="Per month",Operations18677277828792971021071121171241291341391441491541595297222732374247525762[[#This Row],[Cost]],Operations18677277828792971021071121171241291341391441491541595297222732374247525762[[#This Row],[Frequency]]="Per day",Operations18677277828792971021071121171241291341391441491541595297222732374247525762[[#This Row],[Cost]]*30,Operations18677277828792971021071121171241291341391441491541595297222732374247525762[[#This Row],[Frequency]]="One-time",Operations18677277828792971021071121171241291341391441491541595297222732374247525762[[#This Row],[Cost]]/SUM($C$18,$C$19)))/$C$17),Operations18677277828792971021071121171241291341391441491541595297222732374247525762[[#This Row],[Unit]]="Per unit/space/household",(_xlfn.IFS(Operations18677277828792971021071121171241291341391441491541595297222732374247525762[[#This Row],[Frequency]]="Per Year",Operations18677277828792971021071121171241291341391441491541595297222732374247525762[[#This Row],[Cost]]/12,Operations18677277828792971021071121171241291341391441491541595297222732374247525762[[#This Row],[Frequency]]="Per month",Operations18677277828792971021071121171241291341391441491541595297222732374247525762[[#This Row],[Cost]],Operations18677277828792971021071121171241291341391441491541595297222732374247525762[[#This Row],[Frequency]]="Per day",Operations18677277828792971021071121171241291341391441491541595297222732374247525762[[#This Row],[Cost]]*30,Operations18677277828792971021071121171241291341391441491541595297222732374247525762[[#This Row],[Frequency]]="One-time",Operations18677277828792971021071121171241291341391441491541595297222732374247525762[[#This Row],[Cost]]/SUM($C$18,$C$19))))</f>
        <v>#N/A</v>
      </c>
      <c r="H49" s="46" t="e">
        <f>Operations18677277828792971021071121171241291341391441491541595297222732374247525762[[#This Row],[Monthly Cost Per Unit]]*12</f>
        <v>#N/A</v>
      </c>
    </row>
    <row r="50" spans="1:9" x14ac:dyDescent="0.25">
      <c r="A50" s="75"/>
      <c r="B50" s="76"/>
      <c r="C50" s="77"/>
      <c r="D50" s="78"/>
      <c r="E50" s="79"/>
      <c r="F50" s="79"/>
      <c r="G50" s="53" t="e" cm="1">
        <f t="array" ref="G50">_xlfn.IFS(Operations18677277828792971021071121171241291341391441491541595297222732374247525762[[#This Row],[Unit]]="Program-wide",((_xlfn.IFS(Operations18677277828792971021071121171241291341391441491541595297222732374247525762[[#This Row],[Frequency]]="Per Year",Operations18677277828792971021071121171241291341391441491541595297222732374247525762[[#This Row],[Cost]]/12,Operations18677277828792971021071121171241291341391441491541595297222732374247525762[[#This Row],[Frequency]]="Per month",Operations18677277828792971021071121171241291341391441491541595297222732374247525762[[#This Row],[Cost]],Operations18677277828792971021071121171241291341391441491541595297222732374247525762[[#This Row],[Frequency]]="Per day",Operations18677277828792971021071121171241291341391441491541595297222732374247525762[[#This Row],[Cost]]*30,Operations18677277828792971021071121171241291341391441491541595297222732374247525762[[#This Row],[Frequency]]="One-time",Operations18677277828792971021071121171241291341391441491541595297222732374247525762[[#This Row],[Cost]]/SUM($C$18,$C$19)))/$C$17),Operations18677277828792971021071121171241291341391441491541595297222732374247525762[[#This Row],[Unit]]="Per unit/space/household",(_xlfn.IFS(Operations18677277828792971021071121171241291341391441491541595297222732374247525762[[#This Row],[Frequency]]="Per Year",Operations18677277828792971021071121171241291341391441491541595297222732374247525762[[#This Row],[Cost]]/12,Operations18677277828792971021071121171241291341391441491541595297222732374247525762[[#This Row],[Frequency]]="Per month",Operations18677277828792971021071121171241291341391441491541595297222732374247525762[[#This Row],[Cost]],Operations18677277828792971021071121171241291341391441491541595297222732374247525762[[#This Row],[Frequency]]="Per day",Operations18677277828792971021071121171241291341391441491541595297222732374247525762[[#This Row],[Cost]]*30,Operations18677277828792971021071121171241291341391441491541595297222732374247525762[[#This Row],[Frequency]]="One-time",Operations18677277828792971021071121171241291341391441491541595297222732374247525762[[#This Row],[Cost]]/SUM($C$18,$C$19))))</f>
        <v>#N/A</v>
      </c>
      <c r="H50" s="46" t="e">
        <f>Operations18677277828792971021071121171241291341391441491541595297222732374247525762[[#This Row],[Monthly Cost Per Unit]]*12</f>
        <v>#N/A</v>
      </c>
    </row>
    <row r="51" spans="1:9" x14ac:dyDescent="0.25">
      <c r="A51" s="75"/>
      <c r="B51" s="76"/>
      <c r="C51" s="77"/>
      <c r="D51" s="78"/>
      <c r="E51" s="79"/>
      <c r="F51" s="79"/>
      <c r="G51" s="53" t="e" cm="1">
        <f t="array" ref="G51">_xlfn.IFS(Operations18677277828792971021071121171241291341391441491541595297222732374247525762[[#This Row],[Unit]]="Program-wide",((_xlfn.IFS(Operations18677277828792971021071121171241291341391441491541595297222732374247525762[[#This Row],[Frequency]]="Per Year",Operations18677277828792971021071121171241291341391441491541595297222732374247525762[[#This Row],[Cost]]/12,Operations18677277828792971021071121171241291341391441491541595297222732374247525762[[#This Row],[Frequency]]="Per month",Operations18677277828792971021071121171241291341391441491541595297222732374247525762[[#This Row],[Cost]],Operations18677277828792971021071121171241291341391441491541595297222732374247525762[[#This Row],[Frequency]]="Per day",Operations18677277828792971021071121171241291341391441491541595297222732374247525762[[#This Row],[Cost]]*30,Operations18677277828792971021071121171241291341391441491541595297222732374247525762[[#This Row],[Frequency]]="One-time",Operations18677277828792971021071121171241291341391441491541595297222732374247525762[[#This Row],[Cost]]/SUM($C$18,$C$19)))/$C$17),Operations18677277828792971021071121171241291341391441491541595297222732374247525762[[#This Row],[Unit]]="Per unit/space/household",(_xlfn.IFS(Operations18677277828792971021071121171241291341391441491541595297222732374247525762[[#This Row],[Frequency]]="Per Year",Operations18677277828792971021071121171241291341391441491541595297222732374247525762[[#This Row],[Cost]]/12,Operations18677277828792971021071121171241291341391441491541595297222732374247525762[[#This Row],[Frequency]]="Per month",Operations18677277828792971021071121171241291341391441491541595297222732374247525762[[#This Row],[Cost]],Operations18677277828792971021071121171241291341391441491541595297222732374247525762[[#This Row],[Frequency]]="Per day",Operations18677277828792971021071121171241291341391441491541595297222732374247525762[[#This Row],[Cost]]*30,Operations18677277828792971021071121171241291341391441491541595297222732374247525762[[#This Row],[Frequency]]="One-time",Operations18677277828792971021071121171241291341391441491541595297222732374247525762[[#This Row],[Cost]]/SUM($C$18,$C$19))))</f>
        <v>#N/A</v>
      </c>
      <c r="H51" s="46" t="e">
        <f>Operations18677277828792971021071121171241291341391441491541595297222732374247525762[[#This Row],[Monthly Cost Per Unit]]*12</f>
        <v>#N/A</v>
      </c>
    </row>
    <row r="52" spans="1:9" x14ac:dyDescent="0.25">
      <c r="A52" s="75"/>
      <c r="B52" s="76"/>
      <c r="C52" s="77"/>
      <c r="D52" s="78"/>
      <c r="E52" s="79"/>
      <c r="F52" s="79"/>
      <c r="G52" s="55" t="e" cm="1">
        <f t="array" ref="G52">_xlfn.IFS(Operations18677277828792971021071121171241291341391441491541595297222732374247525762[[#This Row],[Unit]]="Program-wide",((_xlfn.IFS(Operations18677277828792971021071121171241291341391441491541595297222732374247525762[[#This Row],[Frequency]]="Per Year",Operations18677277828792971021071121171241291341391441491541595297222732374247525762[[#This Row],[Cost]]/12,Operations18677277828792971021071121171241291341391441491541595297222732374247525762[[#This Row],[Frequency]]="Per month",Operations18677277828792971021071121171241291341391441491541595297222732374247525762[[#This Row],[Cost]],Operations18677277828792971021071121171241291341391441491541595297222732374247525762[[#This Row],[Frequency]]="Per day",Operations18677277828792971021071121171241291341391441491541595297222732374247525762[[#This Row],[Cost]]*30,Operations18677277828792971021071121171241291341391441491541595297222732374247525762[[#This Row],[Frequency]]="One-time",Operations18677277828792971021071121171241291341391441491541595297222732374247525762[[#This Row],[Cost]]/SUM($C$18,$C$19)))/$C$17),Operations18677277828792971021071121171241291341391441491541595297222732374247525762[[#This Row],[Unit]]="Per unit/space/household",(_xlfn.IFS(Operations18677277828792971021071121171241291341391441491541595297222732374247525762[[#This Row],[Frequency]]="Per Year",Operations18677277828792971021071121171241291341391441491541595297222732374247525762[[#This Row],[Cost]]/12,Operations18677277828792971021071121171241291341391441491541595297222732374247525762[[#This Row],[Frequency]]="Per month",Operations18677277828792971021071121171241291341391441491541595297222732374247525762[[#This Row],[Cost]],Operations18677277828792971021071121171241291341391441491541595297222732374247525762[[#This Row],[Frequency]]="Per day",Operations18677277828792971021071121171241291341391441491541595297222732374247525762[[#This Row],[Cost]]*30,Operations18677277828792971021071121171241291341391441491541595297222732374247525762[[#This Row],[Frequency]]="One-time",Operations18677277828792971021071121171241291341391441491541595297222732374247525762[[#This Row],[Cost]]/SUM($C$18,$C$19))))</f>
        <v>#N/A</v>
      </c>
      <c r="H52" s="46" t="e">
        <f>Operations18677277828792971021071121171241291341391441491541595297222732374247525762[[#This Row],[Monthly Cost Per Unit]]*12</f>
        <v>#N/A</v>
      </c>
    </row>
    <row r="53" spans="1:9" x14ac:dyDescent="0.25">
      <c r="A53" s="107" t="s">
        <v>20</v>
      </c>
      <c r="B53" s="107"/>
      <c r="C53" s="108" t="s">
        <v>68</v>
      </c>
      <c r="D53" s="109"/>
      <c r="E53" s="108"/>
      <c r="F53" s="108"/>
      <c r="G53" s="118"/>
      <c r="H53" s="111">
        <f>(SUMIF(Operations18677277828792971021071121171241291341391441491541595297222732374247525762[Duration],"While homeless only",Operations18677277828792971021071121171241291341391441491541595297222732374247525762[Monthly Cost Per Unit]))*12</f>
        <v>0</v>
      </c>
    </row>
    <row r="54" spans="1:9" x14ac:dyDescent="0.25">
      <c r="A54" s="112"/>
      <c r="B54" s="112"/>
      <c r="C54" s="108" t="s">
        <v>63</v>
      </c>
      <c r="D54" s="109"/>
      <c r="E54" s="108"/>
      <c r="F54" s="108"/>
      <c r="G54" s="111"/>
      <c r="H54" s="111">
        <f>(SUMIF(Operations18677277828792971021071121171241291341391441491541595297222732374247525762[Duration],"While housed only",Operations18677277828792971021071121171241291341391441491541595297222732374247525762[Monthly Cost Per Unit]))*12</f>
        <v>0</v>
      </c>
    </row>
    <row r="55" spans="1:9" x14ac:dyDescent="0.25">
      <c r="A55" s="112"/>
      <c r="B55" s="112"/>
      <c r="C55" s="108" t="s">
        <v>58</v>
      </c>
      <c r="D55" s="109"/>
      <c r="E55" s="108"/>
      <c r="F55" s="108"/>
      <c r="G55" s="111"/>
      <c r="H55" s="111">
        <f>(SUMIF(Operations18677277828792971021071121171241291341391441491541595297222732374247525762[Duration],"Homeless &amp; housed",Operations18677277828792971021071121171241291341391441491541595297222732374247525762[Monthly Cost Per Unit]))*12</f>
        <v>0</v>
      </c>
    </row>
    <row r="56" spans="1:9" ht="15.75" thickBot="1" x14ac:dyDescent="0.3">
      <c r="A56" s="113"/>
      <c r="B56" s="113"/>
      <c r="C56" s="114" t="s">
        <v>207</v>
      </c>
      <c r="D56" s="115"/>
      <c r="E56" s="114"/>
      <c r="F56" s="114"/>
      <c r="G56" s="117"/>
      <c r="H56" s="117">
        <f>(SUMIF(Operations18677277828792971021071121171241291341391441491541595297222732374247525762[Duration],"N/A",Operations18677277828792971021071121171241291341391441491541595297222732374247525762[Monthly Cost Per Unit]))*12</f>
        <v>0</v>
      </c>
    </row>
    <row r="57" spans="1:9" ht="16.5" thickTop="1" thickBot="1" x14ac:dyDescent="0.3">
      <c r="A57" s="113"/>
      <c r="B57" s="113"/>
      <c r="C57" s="114" t="s">
        <v>42</v>
      </c>
      <c r="D57" s="115"/>
      <c r="E57" s="114"/>
      <c r="F57" s="114"/>
      <c r="G57" s="117"/>
      <c r="H57" s="117">
        <f>SUM(H53:H56)</f>
        <v>0</v>
      </c>
    </row>
    <row r="58" spans="1:9" ht="15.75" thickTop="1" x14ac:dyDescent="0.25">
      <c r="A58" s="134"/>
      <c r="B58" s="134"/>
      <c r="C58" s="135"/>
      <c r="D58" s="136"/>
      <c r="E58" s="137"/>
      <c r="F58" s="137"/>
      <c r="G58" s="138"/>
    </row>
    <row r="59" spans="1:9" x14ac:dyDescent="0.25">
      <c r="A59" s="274" t="s">
        <v>69</v>
      </c>
      <c r="B59" s="274"/>
      <c r="C59" s="274"/>
      <c r="D59" s="274"/>
      <c r="E59" s="274"/>
      <c r="F59" s="274"/>
      <c r="G59" s="274"/>
      <c r="H59" s="274"/>
      <c r="I59" s="129"/>
    </row>
    <row r="60" spans="1:9" ht="27.95" customHeight="1" outlineLevel="1" x14ac:dyDescent="0.25">
      <c r="A60" s="281" t="s">
        <v>108</v>
      </c>
      <c r="B60" s="281"/>
      <c r="C60" s="281"/>
      <c r="D60" s="281"/>
      <c r="E60" s="281"/>
      <c r="F60" s="281"/>
      <c r="G60" s="281"/>
      <c r="H60" s="281"/>
      <c r="I60" s="129"/>
    </row>
    <row r="61" spans="1:9" ht="18" customHeight="1" outlineLevel="1" x14ac:dyDescent="0.25">
      <c r="A61" s="279" t="s">
        <v>70</v>
      </c>
      <c r="B61" s="279"/>
      <c r="C61" s="279"/>
      <c r="D61" s="279"/>
      <c r="E61" s="279"/>
      <c r="F61" s="279"/>
      <c r="G61" s="92"/>
      <c r="H61" s="10"/>
      <c r="I61" s="129"/>
    </row>
    <row r="62" spans="1:9" ht="45" customHeight="1" outlineLevel="1" x14ac:dyDescent="0.25">
      <c r="A62" s="278" t="s">
        <v>118</v>
      </c>
      <c r="B62" s="278"/>
      <c r="C62" s="278"/>
      <c r="D62" s="278"/>
      <c r="E62" s="278"/>
      <c r="F62" s="278"/>
      <c r="G62" s="92"/>
      <c r="H62" s="10"/>
      <c r="I62" s="129"/>
    </row>
    <row r="63" spans="1:9" ht="60.75" thickBot="1" x14ac:dyDescent="0.3">
      <c r="A63" s="128"/>
      <c r="B63" t="s">
        <v>71</v>
      </c>
      <c r="C63" s="11" t="s">
        <v>72</v>
      </c>
      <c r="D63" s="11" t="s">
        <v>73</v>
      </c>
      <c r="E63" s="11" t="s">
        <v>74</v>
      </c>
      <c r="F63" s="31" t="s">
        <v>75</v>
      </c>
      <c r="G63" s="10"/>
    </row>
    <row r="64" spans="1:9" ht="16.5" thickTop="1" thickBot="1" x14ac:dyDescent="0.3">
      <c r="A64" s="139" t="s">
        <v>76</v>
      </c>
      <c r="B64" s="90">
        <v>0</v>
      </c>
      <c r="C64" s="91">
        <v>0</v>
      </c>
      <c r="D64" s="91">
        <v>0</v>
      </c>
      <c r="E64" s="91">
        <v>0</v>
      </c>
      <c r="F64" s="140">
        <f>SUM(D64:E64)</f>
        <v>0</v>
      </c>
      <c r="G64" s="10"/>
    </row>
    <row r="65" spans="1:9" s="3" customFormat="1" ht="16.5" thickTop="1" thickBot="1" x14ac:dyDescent="0.3">
      <c r="A65" s="139" t="s">
        <v>77</v>
      </c>
      <c r="B65" s="90">
        <v>0</v>
      </c>
      <c r="C65" s="91">
        <v>0</v>
      </c>
      <c r="D65" s="91">
        <v>0</v>
      </c>
      <c r="E65" s="91">
        <v>0</v>
      </c>
      <c r="F65" s="140">
        <f t="shared" ref="F65:F71" si="0">SUM(D65:E65)</f>
        <v>0</v>
      </c>
      <c r="G65" s="10"/>
    </row>
    <row r="66" spans="1:9" ht="16.5" thickTop="1" thickBot="1" x14ac:dyDescent="0.3">
      <c r="A66" s="139" t="s">
        <v>78</v>
      </c>
      <c r="B66" s="90">
        <v>0</v>
      </c>
      <c r="C66" s="91">
        <v>0</v>
      </c>
      <c r="D66" s="91">
        <v>0</v>
      </c>
      <c r="E66" s="91">
        <v>0</v>
      </c>
      <c r="F66" s="140">
        <f t="shared" si="0"/>
        <v>0</v>
      </c>
      <c r="G66" s="10"/>
    </row>
    <row r="67" spans="1:9" ht="16.5" thickTop="1" thickBot="1" x14ac:dyDescent="0.3">
      <c r="A67" s="139" t="s">
        <v>79</v>
      </c>
      <c r="B67" s="90">
        <v>0</v>
      </c>
      <c r="C67" s="91">
        <v>0</v>
      </c>
      <c r="D67" s="91">
        <v>0</v>
      </c>
      <c r="E67" s="91">
        <v>0</v>
      </c>
      <c r="F67" s="140">
        <f t="shared" si="0"/>
        <v>0</v>
      </c>
      <c r="G67" s="10"/>
    </row>
    <row r="68" spans="1:9" ht="16.5" thickTop="1" thickBot="1" x14ac:dyDescent="0.3">
      <c r="A68" s="139" t="s">
        <v>80</v>
      </c>
      <c r="B68" s="90">
        <v>0</v>
      </c>
      <c r="C68" s="91">
        <v>0</v>
      </c>
      <c r="D68" s="91">
        <v>0</v>
      </c>
      <c r="E68" s="91">
        <v>0</v>
      </c>
      <c r="F68" s="140">
        <f t="shared" si="0"/>
        <v>0</v>
      </c>
      <c r="G68" s="10"/>
    </row>
    <row r="69" spans="1:9" ht="16.5" thickTop="1" thickBot="1" x14ac:dyDescent="0.3">
      <c r="A69" s="139" t="s">
        <v>81</v>
      </c>
      <c r="B69" s="90">
        <v>0</v>
      </c>
      <c r="C69" s="91">
        <v>0</v>
      </c>
      <c r="D69" s="91">
        <v>0</v>
      </c>
      <c r="E69" s="91">
        <v>0</v>
      </c>
      <c r="F69" s="140">
        <f t="shared" si="0"/>
        <v>0</v>
      </c>
      <c r="G69" s="10"/>
    </row>
    <row r="70" spans="1:9" ht="16.5" thickTop="1" thickBot="1" x14ac:dyDescent="0.3">
      <c r="A70" s="139" t="s">
        <v>82</v>
      </c>
      <c r="B70" s="90">
        <v>0</v>
      </c>
      <c r="C70" s="91">
        <v>0</v>
      </c>
      <c r="D70" s="91">
        <v>0</v>
      </c>
      <c r="E70" s="91">
        <v>0</v>
      </c>
      <c r="F70" s="140">
        <f t="shared" si="0"/>
        <v>0</v>
      </c>
      <c r="G70" s="10"/>
    </row>
    <row r="71" spans="1:9" ht="16.5" thickTop="1" thickBot="1" x14ac:dyDescent="0.3">
      <c r="A71" s="139" t="s">
        <v>83</v>
      </c>
      <c r="B71" s="90">
        <v>0</v>
      </c>
      <c r="C71" s="91">
        <v>0</v>
      </c>
      <c r="D71" s="91">
        <v>0</v>
      </c>
      <c r="E71" s="91">
        <v>0</v>
      </c>
      <c r="F71" s="140">
        <f t="shared" si="0"/>
        <v>0</v>
      </c>
      <c r="G71" s="10"/>
    </row>
    <row r="72" spans="1:9" ht="15.75" thickTop="1" x14ac:dyDescent="0.25">
      <c r="A72" s="141" t="s">
        <v>21</v>
      </c>
      <c r="C72" s="142" t="e">
        <f>SUM((C64*B64),(C65*B65),(C66*B66),(C67*B67),(C68*B68),(C69*B69),(C70*B70),(C71*B71))/(SUM(B64:B71))</f>
        <v>#DIV/0!</v>
      </c>
      <c r="D72" s="142" t="e">
        <f>SUM((D64*B64),(D65*B65),(D66*B66),(D67*B67),(D68*B68),(D69*B69),(D70*B70),(D71*B71))/(SUM(B64:B71))</f>
        <v>#DIV/0!</v>
      </c>
      <c r="E72" s="142" t="e">
        <f>SUM((E64*B64),(E65*B65),(E66*B66),(E67*B67),(E68*B68),(E69*B69),(E70*B70),(E71*B71))/(SUM(B64:B71))</f>
        <v>#DIV/0!</v>
      </c>
      <c r="F72" s="143" t="e">
        <f>SUM((F64*B64),(F65*B65),(F66*B66),(F67*B67),(F68*B68),(F69*B69),(F70*B70),(F71*B71))/(SUM(B64:B71))</f>
        <v>#DIV/0!</v>
      </c>
      <c r="G72" s="10"/>
    </row>
    <row r="73" spans="1:9" x14ac:dyDescent="0.25">
      <c r="A73" s="144"/>
      <c r="B73" s="145"/>
      <c r="C73" s="145"/>
      <c r="E73" s="10"/>
      <c r="F73" s="10"/>
      <c r="G73" s="129"/>
    </row>
    <row r="74" spans="1:9" x14ac:dyDescent="0.25">
      <c r="A74" s="279" t="s">
        <v>84</v>
      </c>
      <c r="B74" s="279"/>
      <c r="C74" s="279"/>
      <c r="D74" s="279"/>
      <c r="E74" s="279"/>
      <c r="F74" s="279"/>
      <c r="G74" s="279"/>
      <c r="H74" s="279"/>
    </row>
    <row r="75" spans="1:9" s="1" customFormat="1" ht="50.25" customHeight="1" outlineLevel="1" x14ac:dyDescent="0.25">
      <c r="A75" s="278" t="s">
        <v>119</v>
      </c>
      <c r="B75" s="278"/>
      <c r="C75" s="278"/>
      <c r="D75" s="278"/>
      <c r="E75" s="278"/>
      <c r="F75" s="278"/>
      <c r="G75" s="278"/>
      <c r="H75" s="278"/>
      <c r="I75"/>
    </row>
    <row r="76" spans="1:9" s="3" customFormat="1" ht="28.35" customHeight="1" x14ac:dyDescent="0.25">
      <c r="A76" s="131" t="s">
        <v>51</v>
      </c>
      <c r="B76" s="131" t="s">
        <v>52</v>
      </c>
      <c r="C76" s="131" t="s">
        <v>53</v>
      </c>
      <c r="D76" s="131" t="s">
        <v>54</v>
      </c>
      <c r="E76" s="131" t="s">
        <v>55</v>
      </c>
      <c r="F76" s="131" t="s">
        <v>56</v>
      </c>
      <c r="G76" s="131" t="s">
        <v>57</v>
      </c>
      <c r="H76" s="132" t="s">
        <v>20</v>
      </c>
    </row>
    <row r="77" spans="1:9" x14ac:dyDescent="0.25">
      <c r="A77" s="75"/>
      <c r="B77" s="75"/>
      <c r="C77" s="77"/>
      <c r="D77" s="78"/>
      <c r="E77" s="79"/>
      <c r="F77" s="79"/>
      <c r="G77" s="53" t="e" cm="1">
        <f t="array" ref="G77">_xlfn.IFS(RentalAssistance19687378838893981031081131181251301351401451501551605398232833384348535863[[#This Row],[Unit]]="Program-wide",((_xlfn.IFS(RentalAssistance19687378838893981031081131181251301351401451501551605398232833384348535863[[#This Row],[Frequency]]="Per Year",RentalAssistance19687378838893981031081131181251301351401451501551605398232833384348535863[[#This Row],[Cost]]/12,RentalAssistance19687378838893981031081131181251301351401451501551605398232833384348535863[[#This Row],[Frequency]]="Per month",RentalAssistance19687378838893981031081131181251301351401451501551605398232833384348535863[[#This Row],[Cost]],RentalAssistance19687378838893981031081131181251301351401451501551605398232833384348535863[[#This Row],[Frequency]]="Per day",RentalAssistance19687378838893981031081131181251301351401451501551605398232833384348535863[[#This Row],[Cost]]*30,RentalAssistance19687378838893981031081131181251301351401451501551605398232833384348535863[[#This Row],[Frequency]]="One-time",RentalAssistance19687378838893981031081131181251301351401451501551605398232833384348535863[[#This Row],[Cost]]/SUM($C$18,$C$19)))/$C$17),RentalAssistance19687378838893981031081131181251301351401451501551605398232833384348535863[[#This Row],[Unit]]="Per unit/space/household",(_xlfn.IFS(RentalAssistance19687378838893981031081131181251301351401451501551605398232833384348535863[[#This Row],[Frequency]]="Per Year",RentalAssistance19687378838893981031081131181251301351401451501551605398232833384348535863[[#This Row],[Cost]]/12,RentalAssistance19687378838893981031081131181251301351401451501551605398232833384348535863[[#This Row],[Frequency]]="Per month",RentalAssistance19687378838893981031081131181251301351401451501551605398232833384348535863[[#This Row],[Cost]],RentalAssistance19687378838893981031081131181251301351401451501551605398232833384348535863[[#This Row],[Frequency]]="Per day",RentalAssistance19687378838893981031081131181251301351401451501551605398232833384348535863[[#This Row],[Cost]]*30,RentalAssistance19687378838893981031081131181251301351401451501551605398232833384348535863[[#This Row],[Frequency]]="One-time",RentalAssistance19687378838893981031081131181251301351401451501551605398232833384348535863[[#This Row],[Cost]]/SUM($C$18,$C$19))))</f>
        <v>#N/A</v>
      </c>
      <c r="H77" s="46" t="e">
        <f>RentalAssistance19687378838893981031081131181251301351401451501551605398232833384348535863[[#This Row],[Monthly Cost Per Unit]]*12</f>
        <v>#N/A</v>
      </c>
    </row>
    <row r="78" spans="1:9" x14ac:dyDescent="0.25">
      <c r="A78" s="75"/>
      <c r="B78" s="75"/>
      <c r="C78" s="77"/>
      <c r="D78" s="78"/>
      <c r="E78" s="79"/>
      <c r="F78" s="79"/>
      <c r="G78" s="53" t="e" cm="1">
        <f t="array" ref="G78">_xlfn.IFS(RentalAssistance19687378838893981031081131181251301351401451501551605398232833384348535863[[#This Row],[Unit]]="Program-wide",((_xlfn.IFS(RentalAssistance19687378838893981031081131181251301351401451501551605398232833384348535863[[#This Row],[Frequency]]="Per Year",RentalAssistance19687378838893981031081131181251301351401451501551605398232833384348535863[[#This Row],[Cost]]/12,RentalAssistance19687378838893981031081131181251301351401451501551605398232833384348535863[[#This Row],[Frequency]]="Per month",RentalAssistance19687378838893981031081131181251301351401451501551605398232833384348535863[[#This Row],[Cost]],RentalAssistance19687378838893981031081131181251301351401451501551605398232833384348535863[[#This Row],[Frequency]]="Per day",RentalAssistance19687378838893981031081131181251301351401451501551605398232833384348535863[[#This Row],[Cost]]*30,RentalAssistance19687378838893981031081131181251301351401451501551605398232833384348535863[[#This Row],[Frequency]]="One-time",RentalAssistance19687378838893981031081131181251301351401451501551605398232833384348535863[[#This Row],[Cost]]/SUM($C$18,$C$19)))/$C$17),RentalAssistance19687378838893981031081131181251301351401451501551605398232833384348535863[[#This Row],[Unit]]="Per unit/space/household",(_xlfn.IFS(RentalAssistance19687378838893981031081131181251301351401451501551605398232833384348535863[[#This Row],[Frequency]]="Per Year",RentalAssistance19687378838893981031081131181251301351401451501551605398232833384348535863[[#This Row],[Cost]]/12,RentalAssistance19687378838893981031081131181251301351401451501551605398232833384348535863[[#This Row],[Frequency]]="Per month",RentalAssistance19687378838893981031081131181251301351401451501551605398232833384348535863[[#This Row],[Cost]],RentalAssistance19687378838893981031081131181251301351401451501551605398232833384348535863[[#This Row],[Frequency]]="Per day",RentalAssistance19687378838893981031081131181251301351401451501551605398232833384348535863[[#This Row],[Cost]]*30,RentalAssistance19687378838893981031081131181251301351401451501551605398232833384348535863[[#This Row],[Frequency]]="One-time",RentalAssistance19687378838893981031081131181251301351401451501551605398232833384348535863[[#This Row],[Cost]]/SUM($C$18,$C$19))))</f>
        <v>#N/A</v>
      </c>
      <c r="H78" s="46" t="e">
        <f>RentalAssistance19687378838893981031081131181251301351401451501551605398232833384348535863[[#This Row],[Monthly Cost Per Unit]]*12</f>
        <v>#N/A</v>
      </c>
    </row>
    <row r="79" spans="1:9" x14ac:dyDescent="0.25">
      <c r="A79" s="75"/>
      <c r="B79" s="75"/>
      <c r="C79" s="77"/>
      <c r="D79" s="78"/>
      <c r="E79" s="79"/>
      <c r="F79" s="79"/>
      <c r="G79" s="53" t="e" cm="1">
        <f t="array" ref="G79">_xlfn.IFS(RentalAssistance19687378838893981031081131181251301351401451501551605398232833384348535863[[#This Row],[Unit]]="Program-wide",((_xlfn.IFS(RentalAssistance19687378838893981031081131181251301351401451501551605398232833384348535863[[#This Row],[Frequency]]="Per Year",RentalAssistance19687378838893981031081131181251301351401451501551605398232833384348535863[[#This Row],[Cost]]/12,RentalAssistance19687378838893981031081131181251301351401451501551605398232833384348535863[[#This Row],[Frequency]]="Per month",RentalAssistance19687378838893981031081131181251301351401451501551605398232833384348535863[[#This Row],[Cost]],RentalAssistance19687378838893981031081131181251301351401451501551605398232833384348535863[[#This Row],[Frequency]]="Per day",RentalAssistance19687378838893981031081131181251301351401451501551605398232833384348535863[[#This Row],[Cost]]*30,RentalAssistance19687378838893981031081131181251301351401451501551605398232833384348535863[[#This Row],[Frequency]]="One-time",RentalAssistance19687378838893981031081131181251301351401451501551605398232833384348535863[[#This Row],[Cost]]/SUM($C$18,$C$19)))/$C$17),RentalAssistance19687378838893981031081131181251301351401451501551605398232833384348535863[[#This Row],[Unit]]="Per unit/space/household",(_xlfn.IFS(RentalAssistance19687378838893981031081131181251301351401451501551605398232833384348535863[[#This Row],[Frequency]]="Per Year",RentalAssistance19687378838893981031081131181251301351401451501551605398232833384348535863[[#This Row],[Cost]]/12,RentalAssistance19687378838893981031081131181251301351401451501551605398232833384348535863[[#This Row],[Frequency]]="Per month",RentalAssistance19687378838893981031081131181251301351401451501551605398232833384348535863[[#This Row],[Cost]],RentalAssistance19687378838893981031081131181251301351401451501551605398232833384348535863[[#This Row],[Frequency]]="Per day",RentalAssistance19687378838893981031081131181251301351401451501551605398232833384348535863[[#This Row],[Cost]]*30,RentalAssistance19687378838893981031081131181251301351401451501551605398232833384348535863[[#This Row],[Frequency]]="One-time",RentalAssistance19687378838893981031081131181251301351401451501551605398232833384348535863[[#This Row],[Cost]]/SUM($C$18,$C$19))))</f>
        <v>#N/A</v>
      </c>
      <c r="H79" s="46" t="e">
        <f>RentalAssistance19687378838893981031081131181251301351401451501551605398232833384348535863[[#This Row],[Monthly Cost Per Unit]]*12</f>
        <v>#N/A</v>
      </c>
    </row>
    <row r="80" spans="1:9" x14ac:dyDescent="0.25">
      <c r="A80" s="75"/>
      <c r="B80" s="75"/>
      <c r="C80" s="77"/>
      <c r="D80" s="78"/>
      <c r="E80" s="79"/>
      <c r="F80" s="79"/>
      <c r="G80" s="53" t="e" cm="1">
        <f t="array" ref="G80">_xlfn.IFS(RentalAssistance19687378838893981031081131181251301351401451501551605398232833384348535863[[#This Row],[Unit]]="Program-wide",((_xlfn.IFS(RentalAssistance19687378838893981031081131181251301351401451501551605398232833384348535863[[#This Row],[Frequency]]="Per Year",RentalAssistance19687378838893981031081131181251301351401451501551605398232833384348535863[[#This Row],[Cost]]/12,RentalAssistance19687378838893981031081131181251301351401451501551605398232833384348535863[[#This Row],[Frequency]]="Per month",RentalAssistance19687378838893981031081131181251301351401451501551605398232833384348535863[[#This Row],[Cost]],RentalAssistance19687378838893981031081131181251301351401451501551605398232833384348535863[[#This Row],[Frequency]]="Per day",RentalAssistance19687378838893981031081131181251301351401451501551605398232833384348535863[[#This Row],[Cost]]*30,RentalAssistance19687378838893981031081131181251301351401451501551605398232833384348535863[[#This Row],[Frequency]]="One-time",RentalAssistance19687378838893981031081131181251301351401451501551605398232833384348535863[[#This Row],[Cost]]/SUM($C$18,$C$19)))/$C$17),RentalAssistance19687378838893981031081131181251301351401451501551605398232833384348535863[[#This Row],[Unit]]="Per unit/space/household",(_xlfn.IFS(RentalAssistance19687378838893981031081131181251301351401451501551605398232833384348535863[[#This Row],[Frequency]]="Per Year",RentalAssistance19687378838893981031081131181251301351401451501551605398232833384348535863[[#This Row],[Cost]]/12,RentalAssistance19687378838893981031081131181251301351401451501551605398232833384348535863[[#This Row],[Frequency]]="Per month",RentalAssistance19687378838893981031081131181251301351401451501551605398232833384348535863[[#This Row],[Cost]],RentalAssistance19687378838893981031081131181251301351401451501551605398232833384348535863[[#This Row],[Frequency]]="Per day",RentalAssistance19687378838893981031081131181251301351401451501551605398232833384348535863[[#This Row],[Cost]]*30,RentalAssistance19687378838893981031081131181251301351401451501551605398232833384348535863[[#This Row],[Frequency]]="One-time",RentalAssistance19687378838893981031081131181251301351401451501551605398232833384348535863[[#This Row],[Cost]]/SUM($C$18,$C$19))))</f>
        <v>#N/A</v>
      </c>
      <c r="H80" s="46" t="e">
        <f>RentalAssistance19687378838893981031081131181251301351401451501551605398232833384348535863[[#This Row],[Monthly Cost Per Unit]]*12</f>
        <v>#N/A</v>
      </c>
    </row>
    <row r="81" spans="1:8" x14ac:dyDescent="0.25">
      <c r="A81" s="75"/>
      <c r="B81" s="75"/>
      <c r="C81" s="77"/>
      <c r="D81" s="78"/>
      <c r="E81" s="79"/>
      <c r="F81" s="79"/>
      <c r="G81" s="53" t="e" cm="1">
        <f t="array" ref="G81">_xlfn.IFS(RentalAssistance19687378838893981031081131181251301351401451501551605398232833384348535863[[#This Row],[Unit]]="Program-wide",((_xlfn.IFS(RentalAssistance19687378838893981031081131181251301351401451501551605398232833384348535863[[#This Row],[Frequency]]="Per Year",RentalAssistance19687378838893981031081131181251301351401451501551605398232833384348535863[[#This Row],[Cost]]/12,RentalAssistance19687378838893981031081131181251301351401451501551605398232833384348535863[[#This Row],[Frequency]]="Per month",RentalAssistance19687378838893981031081131181251301351401451501551605398232833384348535863[[#This Row],[Cost]],RentalAssistance19687378838893981031081131181251301351401451501551605398232833384348535863[[#This Row],[Frequency]]="Per day",RentalAssistance19687378838893981031081131181251301351401451501551605398232833384348535863[[#This Row],[Cost]]*30,RentalAssistance19687378838893981031081131181251301351401451501551605398232833384348535863[[#This Row],[Frequency]]="One-time",RentalAssistance19687378838893981031081131181251301351401451501551605398232833384348535863[[#This Row],[Cost]]/SUM($C$18,$C$19)))/$C$17),RentalAssistance19687378838893981031081131181251301351401451501551605398232833384348535863[[#This Row],[Unit]]="Per unit/space/household",(_xlfn.IFS(RentalAssistance19687378838893981031081131181251301351401451501551605398232833384348535863[[#This Row],[Frequency]]="Per Year",RentalAssistance19687378838893981031081131181251301351401451501551605398232833384348535863[[#This Row],[Cost]]/12,RentalAssistance19687378838893981031081131181251301351401451501551605398232833384348535863[[#This Row],[Frequency]]="Per month",RentalAssistance19687378838893981031081131181251301351401451501551605398232833384348535863[[#This Row],[Cost]],RentalAssistance19687378838893981031081131181251301351401451501551605398232833384348535863[[#This Row],[Frequency]]="Per day",RentalAssistance19687378838893981031081131181251301351401451501551605398232833384348535863[[#This Row],[Cost]]*30,RentalAssistance19687378838893981031081131181251301351401451501551605398232833384348535863[[#This Row],[Frequency]]="One-time",RentalAssistance19687378838893981031081131181251301351401451501551605398232833384348535863[[#This Row],[Cost]]/SUM($C$18,$C$19))))</f>
        <v>#N/A</v>
      </c>
      <c r="H81" s="46" t="e">
        <f>RentalAssistance19687378838893981031081131181251301351401451501551605398232833384348535863[[#This Row],[Monthly Cost Per Unit]]*12</f>
        <v>#N/A</v>
      </c>
    </row>
    <row r="82" spans="1:8" x14ac:dyDescent="0.25">
      <c r="A82" s="75"/>
      <c r="B82" s="75"/>
      <c r="C82" s="77"/>
      <c r="D82" s="78"/>
      <c r="E82" s="79"/>
      <c r="F82" s="79"/>
      <c r="G82" s="53" t="e" cm="1">
        <f t="array" ref="G82">_xlfn.IFS(RentalAssistance19687378838893981031081131181251301351401451501551605398232833384348535863[[#This Row],[Unit]]="Program-wide",((_xlfn.IFS(RentalAssistance19687378838893981031081131181251301351401451501551605398232833384348535863[[#This Row],[Frequency]]="Per Year",RentalAssistance19687378838893981031081131181251301351401451501551605398232833384348535863[[#This Row],[Cost]]/12,RentalAssistance19687378838893981031081131181251301351401451501551605398232833384348535863[[#This Row],[Frequency]]="Per month",RentalAssistance19687378838893981031081131181251301351401451501551605398232833384348535863[[#This Row],[Cost]],RentalAssistance19687378838893981031081131181251301351401451501551605398232833384348535863[[#This Row],[Frequency]]="Per day",RentalAssistance19687378838893981031081131181251301351401451501551605398232833384348535863[[#This Row],[Cost]]*30,RentalAssistance19687378838893981031081131181251301351401451501551605398232833384348535863[[#This Row],[Frequency]]="One-time",RentalAssistance19687378838893981031081131181251301351401451501551605398232833384348535863[[#This Row],[Cost]]/SUM($C$18,$C$19)))/$C$17),RentalAssistance19687378838893981031081131181251301351401451501551605398232833384348535863[[#This Row],[Unit]]="Per unit/space/household",(_xlfn.IFS(RentalAssistance19687378838893981031081131181251301351401451501551605398232833384348535863[[#This Row],[Frequency]]="Per Year",RentalAssistance19687378838893981031081131181251301351401451501551605398232833384348535863[[#This Row],[Cost]]/12,RentalAssistance19687378838893981031081131181251301351401451501551605398232833384348535863[[#This Row],[Frequency]]="Per month",RentalAssistance19687378838893981031081131181251301351401451501551605398232833384348535863[[#This Row],[Cost]],RentalAssistance19687378838893981031081131181251301351401451501551605398232833384348535863[[#This Row],[Frequency]]="Per day",RentalAssistance19687378838893981031081131181251301351401451501551605398232833384348535863[[#This Row],[Cost]]*30,RentalAssistance19687378838893981031081131181251301351401451501551605398232833384348535863[[#This Row],[Frequency]]="One-time",RentalAssistance19687378838893981031081131181251301351401451501551605398232833384348535863[[#This Row],[Cost]]/SUM($C$18,$C$19))))</f>
        <v>#N/A</v>
      </c>
      <c r="H82" s="46" t="e">
        <f>RentalAssistance19687378838893981031081131181251301351401451501551605398232833384348535863[[#This Row],[Monthly Cost Per Unit]]*12</f>
        <v>#N/A</v>
      </c>
    </row>
    <row r="83" spans="1:8" x14ac:dyDescent="0.25">
      <c r="A83" s="75"/>
      <c r="B83" s="75"/>
      <c r="C83" s="77"/>
      <c r="D83" s="78"/>
      <c r="E83" s="79"/>
      <c r="F83" s="79"/>
      <c r="G83" s="53" t="e" cm="1">
        <f t="array" ref="G83">_xlfn.IFS(RentalAssistance19687378838893981031081131181251301351401451501551605398232833384348535863[[#This Row],[Unit]]="Program-wide",((_xlfn.IFS(RentalAssistance19687378838893981031081131181251301351401451501551605398232833384348535863[[#This Row],[Frequency]]="Per Year",RentalAssistance19687378838893981031081131181251301351401451501551605398232833384348535863[[#This Row],[Cost]]/12,RentalAssistance19687378838893981031081131181251301351401451501551605398232833384348535863[[#This Row],[Frequency]]="Per month",RentalAssistance19687378838893981031081131181251301351401451501551605398232833384348535863[[#This Row],[Cost]],RentalAssistance19687378838893981031081131181251301351401451501551605398232833384348535863[[#This Row],[Frequency]]="Per day",RentalAssistance19687378838893981031081131181251301351401451501551605398232833384348535863[[#This Row],[Cost]]*30,RentalAssistance19687378838893981031081131181251301351401451501551605398232833384348535863[[#This Row],[Frequency]]="One-time",RentalAssistance19687378838893981031081131181251301351401451501551605398232833384348535863[[#This Row],[Cost]]/SUM($C$18,$C$19)))/$C$17),RentalAssistance19687378838893981031081131181251301351401451501551605398232833384348535863[[#This Row],[Unit]]="Per unit/space/household",(_xlfn.IFS(RentalAssistance19687378838893981031081131181251301351401451501551605398232833384348535863[[#This Row],[Frequency]]="Per Year",RentalAssistance19687378838893981031081131181251301351401451501551605398232833384348535863[[#This Row],[Cost]]/12,RentalAssistance19687378838893981031081131181251301351401451501551605398232833384348535863[[#This Row],[Frequency]]="Per month",RentalAssistance19687378838893981031081131181251301351401451501551605398232833384348535863[[#This Row],[Cost]],RentalAssistance19687378838893981031081131181251301351401451501551605398232833384348535863[[#This Row],[Frequency]]="Per day",RentalAssistance19687378838893981031081131181251301351401451501551605398232833384348535863[[#This Row],[Cost]]*30,RentalAssistance19687378838893981031081131181251301351401451501551605398232833384348535863[[#This Row],[Frequency]]="One-time",RentalAssistance19687378838893981031081131181251301351401451501551605398232833384348535863[[#This Row],[Cost]]/SUM($C$18,$C$19))))</f>
        <v>#N/A</v>
      </c>
      <c r="H83" s="46" t="e">
        <f>RentalAssistance19687378838893981031081131181251301351401451501551605398232833384348535863[[#This Row],[Monthly Cost Per Unit]]*12</f>
        <v>#N/A</v>
      </c>
    </row>
    <row r="84" spans="1:8" x14ac:dyDescent="0.25">
      <c r="A84" s="75"/>
      <c r="B84" s="75"/>
      <c r="C84" s="77"/>
      <c r="D84" s="78"/>
      <c r="E84" s="79"/>
      <c r="F84" s="79"/>
      <c r="G84" s="53" t="e" cm="1">
        <f t="array" ref="G84">_xlfn.IFS(RentalAssistance19687378838893981031081131181251301351401451501551605398232833384348535863[[#This Row],[Unit]]="Program-wide",((_xlfn.IFS(RentalAssistance19687378838893981031081131181251301351401451501551605398232833384348535863[[#This Row],[Frequency]]="Per Year",RentalAssistance19687378838893981031081131181251301351401451501551605398232833384348535863[[#This Row],[Cost]]/12,RentalAssistance19687378838893981031081131181251301351401451501551605398232833384348535863[[#This Row],[Frequency]]="Per month",RentalAssistance19687378838893981031081131181251301351401451501551605398232833384348535863[[#This Row],[Cost]],RentalAssistance19687378838893981031081131181251301351401451501551605398232833384348535863[[#This Row],[Frequency]]="Per day",RentalAssistance19687378838893981031081131181251301351401451501551605398232833384348535863[[#This Row],[Cost]]*30,RentalAssistance19687378838893981031081131181251301351401451501551605398232833384348535863[[#This Row],[Frequency]]="One-time",RentalAssistance19687378838893981031081131181251301351401451501551605398232833384348535863[[#This Row],[Cost]]/SUM($C$18,$C$19)))/$C$17),RentalAssistance19687378838893981031081131181251301351401451501551605398232833384348535863[[#This Row],[Unit]]="Per unit/space/household",(_xlfn.IFS(RentalAssistance19687378838893981031081131181251301351401451501551605398232833384348535863[[#This Row],[Frequency]]="Per Year",RentalAssistance19687378838893981031081131181251301351401451501551605398232833384348535863[[#This Row],[Cost]]/12,RentalAssistance19687378838893981031081131181251301351401451501551605398232833384348535863[[#This Row],[Frequency]]="Per month",RentalAssistance19687378838893981031081131181251301351401451501551605398232833384348535863[[#This Row],[Cost]],RentalAssistance19687378838893981031081131181251301351401451501551605398232833384348535863[[#This Row],[Frequency]]="Per day",RentalAssistance19687378838893981031081131181251301351401451501551605398232833384348535863[[#This Row],[Cost]]*30,RentalAssistance19687378838893981031081131181251301351401451501551605398232833384348535863[[#This Row],[Frequency]]="One-time",RentalAssistance19687378838893981031081131181251301351401451501551605398232833384348535863[[#This Row],[Cost]]/SUM($C$18,$C$19))))</f>
        <v>#N/A</v>
      </c>
      <c r="H84" s="46" t="e">
        <f>RentalAssistance19687378838893981031081131181251301351401451501551605398232833384348535863[[#This Row],[Monthly Cost Per Unit]]*12</f>
        <v>#N/A</v>
      </c>
    </row>
    <row r="85" spans="1:8" x14ac:dyDescent="0.25">
      <c r="A85" s="80"/>
      <c r="B85" s="80"/>
      <c r="C85" s="82"/>
      <c r="D85" s="83"/>
      <c r="E85" s="84"/>
      <c r="F85" s="84"/>
      <c r="G85" s="55" t="e" cm="1">
        <f t="array" ref="G85">_xlfn.IFS(RentalAssistance19687378838893981031081131181251301351401451501551605398232833384348535863[[#This Row],[Unit]]="Program-wide",((_xlfn.IFS(RentalAssistance19687378838893981031081131181251301351401451501551605398232833384348535863[[#This Row],[Frequency]]="Per Year",RentalAssistance19687378838893981031081131181251301351401451501551605398232833384348535863[[#This Row],[Cost]]/12,RentalAssistance19687378838893981031081131181251301351401451501551605398232833384348535863[[#This Row],[Frequency]]="Per month",RentalAssistance19687378838893981031081131181251301351401451501551605398232833384348535863[[#This Row],[Cost]],RentalAssistance19687378838893981031081131181251301351401451501551605398232833384348535863[[#This Row],[Frequency]]="Per day",RentalAssistance19687378838893981031081131181251301351401451501551605398232833384348535863[[#This Row],[Cost]]*30,RentalAssistance19687378838893981031081131181251301351401451501551605398232833384348535863[[#This Row],[Frequency]]="One-time",RentalAssistance19687378838893981031081131181251301351401451501551605398232833384348535863[[#This Row],[Cost]]/SUM($C$18,$C$19)))/$C$17),RentalAssistance19687378838893981031081131181251301351401451501551605398232833384348535863[[#This Row],[Unit]]="Per unit/space/household",(_xlfn.IFS(RentalAssistance19687378838893981031081131181251301351401451501551605398232833384348535863[[#This Row],[Frequency]]="Per Year",RentalAssistance19687378838893981031081131181251301351401451501551605398232833384348535863[[#This Row],[Cost]]/12,RentalAssistance19687378838893981031081131181251301351401451501551605398232833384348535863[[#This Row],[Frequency]]="Per month",RentalAssistance19687378838893981031081131181251301351401451501551605398232833384348535863[[#This Row],[Cost]],RentalAssistance19687378838893981031081131181251301351401451501551605398232833384348535863[[#This Row],[Frequency]]="Per day",RentalAssistance19687378838893981031081131181251301351401451501551605398232833384348535863[[#This Row],[Cost]]*30,RentalAssistance19687378838893981031081131181251301351401451501551605398232833384348535863[[#This Row],[Frequency]]="One-time",RentalAssistance19687378838893981031081131181251301351401451501551605398232833384348535863[[#This Row],[Cost]]/SUM($C$18,$C$19))))</f>
        <v>#N/A</v>
      </c>
      <c r="H85" s="46" t="e">
        <f>RentalAssistance19687378838893981031081131181251301351401451501551605398232833384348535863[[#This Row],[Monthly Cost Per Unit]]*12</f>
        <v>#N/A</v>
      </c>
    </row>
    <row r="86" spans="1:8" x14ac:dyDescent="0.25">
      <c r="A86" s="107" t="s">
        <v>20</v>
      </c>
      <c r="B86" s="107"/>
      <c r="C86" s="108" t="s">
        <v>68</v>
      </c>
      <c r="D86" s="109"/>
      <c r="E86" s="108"/>
      <c r="F86" s="108"/>
      <c r="G86" s="118"/>
      <c r="H86" s="111">
        <f>(SUMIF(RentalAssistance19687378838893981031081131181251301351401451501551605398232833384348535863[Duration],"While homeless only",RentalAssistance19687378838893981031081131181251301351401451501551605398232833384348535863[Monthly Cost Per Unit]))*12</f>
        <v>0</v>
      </c>
    </row>
    <row r="87" spans="1:8" x14ac:dyDescent="0.25">
      <c r="A87" s="112"/>
      <c r="B87" s="112"/>
      <c r="C87" s="108" t="s">
        <v>63</v>
      </c>
      <c r="D87" s="109"/>
      <c r="E87" s="108"/>
      <c r="F87" s="108"/>
      <c r="G87" s="111"/>
      <c r="H87" s="111">
        <f>(SUMIF(RentalAssistance19687378838893981031081131181251301351401451501551605398232833384348535863[Duration],"While housed only",RentalAssistance19687378838893981031081131181251301351401451501551605398232833384348535863[Monthly Cost Per Unit]))*12</f>
        <v>0</v>
      </c>
    </row>
    <row r="88" spans="1:8" x14ac:dyDescent="0.25">
      <c r="A88" s="112"/>
      <c r="B88" s="112"/>
      <c r="C88" s="108" t="s">
        <v>58</v>
      </c>
      <c r="D88" s="109"/>
      <c r="E88" s="108"/>
      <c r="F88" s="108"/>
      <c r="G88" s="111"/>
      <c r="H88" s="111">
        <f>(SUMIF(RentalAssistance19687378838893981031081131181251301351401451501551605398232833384348535863[Duration],"Homeless &amp; housed",RentalAssistance19687378838893981031081131181251301351401451501551605398232833384348535863[Monthly Cost Per Unit]))*12</f>
        <v>0</v>
      </c>
    </row>
    <row r="89" spans="1:8" ht="15.75" thickBot="1" x14ac:dyDescent="0.3">
      <c r="A89" s="113"/>
      <c r="B89" s="113"/>
      <c r="C89" s="114" t="s">
        <v>207</v>
      </c>
      <c r="D89" s="115"/>
      <c r="E89" s="114"/>
      <c r="F89" s="114"/>
      <c r="G89" s="117"/>
      <c r="H89" s="117">
        <f>(SUMIF(RentalAssistance19687378838893981031081131181251301351401451501551605398232833384348535863[Duration],"N/A",RentalAssistance19687378838893981031081131181251301351401451501551605398232833384348535863[Monthly Cost Per Unit]))*12</f>
        <v>0</v>
      </c>
    </row>
    <row r="90" spans="1:8" ht="16.5" thickTop="1" thickBot="1" x14ac:dyDescent="0.3">
      <c r="A90" s="113"/>
      <c r="B90" s="113"/>
      <c r="C90" s="114" t="s">
        <v>42</v>
      </c>
      <c r="D90" s="115"/>
      <c r="E90" s="114"/>
      <c r="F90" s="114"/>
      <c r="G90" s="117"/>
      <c r="H90" s="117">
        <f>SUM(H86:H89)</f>
        <v>0</v>
      </c>
    </row>
    <row r="91" spans="1:8" ht="15.75" thickTop="1" x14ac:dyDescent="0.25">
      <c r="A91" s="146"/>
      <c r="B91" s="137"/>
      <c r="C91" s="137"/>
      <c r="D91" s="137"/>
      <c r="E91" s="137"/>
      <c r="F91" s="138"/>
      <c r="G91"/>
      <c r="H91" s="128"/>
    </row>
    <row r="92" spans="1:8" x14ac:dyDescent="0.25">
      <c r="A92" s="274" t="s">
        <v>88</v>
      </c>
      <c r="B92" s="274"/>
      <c r="C92" s="274"/>
      <c r="D92" s="274"/>
      <c r="E92" s="274"/>
      <c r="F92" s="274"/>
      <c r="G92" s="274"/>
      <c r="H92" s="274"/>
    </row>
    <row r="93" spans="1:8" ht="32.25" customHeight="1" outlineLevel="1" x14ac:dyDescent="0.25">
      <c r="A93" s="294" t="s">
        <v>89</v>
      </c>
      <c r="B93" s="294"/>
      <c r="C93" s="294"/>
      <c r="D93" s="294"/>
      <c r="E93" s="294"/>
      <c r="F93" s="294"/>
      <c r="G93" s="294"/>
      <c r="H93" s="294"/>
    </row>
    <row r="94" spans="1:8" ht="30" x14ac:dyDescent="0.25">
      <c r="A94" s="131" t="s">
        <v>51</v>
      </c>
      <c r="B94" s="131" t="s">
        <v>52</v>
      </c>
      <c r="C94" s="131" t="s">
        <v>53</v>
      </c>
      <c r="D94" s="131" t="s">
        <v>54</v>
      </c>
      <c r="E94" s="131" t="s">
        <v>55</v>
      </c>
      <c r="F94" s="131" t="s">
        <v>56</v>
      </c>
      <c r="G94" s="131" t="s">
        <v>57</v>
      </c>
      <c r="H94" s="132" t="s">
        <v>20</v>
      </c>
    </row>
    <row r="95" spans="1:8" x14ac:dyDescent="0.25">
      <c r="A95" s="75"/>
      <c r="B95" s="75"/>
      <c r="C95" s="77"/>
      <c r="D95" s="78"/>
      <c r="E95" s="79"/>
      <c r="F95" s="76"/>
      <c r="G95" s="53" t="e" cm="1">
        <f t="array" ref="G95">_xlfn.IFS(Services110697479848994991041091141191261311361411461511561615499242934394449545964[[#This Row],[Unit]]="Program-wide",((_xlfn.IFS(Services110697479848994991041091141191261311361411461511561615499242934394449545964[[#This Row],[Frequency]]="Per Year",Services110697479848994991041091141191261311361411461511561615499242934394449545964[[#This Row],[Cost]]/12,Services110697479848994991041091141191261311361411461511561615499242934394449545964[[#This Row],[Frequency]]="Per month",Services110697479848994991041091141191261311361411461511561615499242934394449545964[[#This Row],[Cost]],Services110697479848994991041091141191261311361411461511561615499242934394449545964[[#This Row],[Frequency]]="Per day",Services110697479848994991041091141191261311361411461511561615499242934394449545964[[#This Row],[Cost]]*30,Services110697479848994991041091141191261311361411461511561615499242934394449545964[[#This Row],[Frequency]]="One-time",Services110697479848994991041091141191261311361411461511561615499242934394449545964[[#This Row],[Cost]]/SUM($C$18,$C$19)))/$C$17),Services110697479848994991041091141191261311361411461511561615499242934394449545964[[#This Row],[Unit]]="Per unit/space/household",(_xlfn.IFS(Services110697479848994991041091141191261311361411461511561615499242934394449545964[[#This Row],[Frequency]]="Per Year",Services110697479848994991041091141191261311361411461511561615499242934394449545964[[#This Row],[Cost]]/12,Services110697479848994991041091141191261311361411461511561615499242934394449545964[[#This Row],[Frequency]]="Per month",Services110697479848994991041091141191261311361411461511561615499242934394449545964[[#This Row],[Cost]],Services110697479848994991041091141191261311361411461511561615499242934394449545964[[#This Row],[Frequency]]="Per day",Services110697479848994991041091141191261311361411461511561615499242934394449545964[[#This Row],[Cost]]*30,Services110697479848994991041091141191261311361411461511561615499242934394449545964[[#This Row],[Frequency]]="One-time",Services110697479848994991041091141191261311361411461511561615499242934394449545964[[#This Row],[Cost]]/SUM($C$18,$C$19))))</f>
        <v>#N/A</v>
      </c>
      <c r="H95" s="46" t="e">
        <f>Services110697479848994991041091141191261311361411461511561615499242934394449545964[[#This Row],[Monthly Cost Per Unit]]*12</f>
        <v>#N/A</v>
      </c>
    </row>
    <row r="96" spans="1:8" x14ac:dyDescent="0.25">
      <c r="A96" s="75"/>
      <c r="B96" s="75"/>
      <c r="C96" s="77"/>
      <c r="D96" s="78"/>
      <c r="E96" s="79"/>
      <c r="F96" s="76"/>
      <c r="G96" s="53" t="e" cm="1">
        <f t="array" ref="G96">_xlfn.IFS(Services110697479848994991041091141191261311361411461511561615499242934394449545964[[#This Row],[Unit]]="Program-wide",((_xlfn.IFS(Services110697479848994991041091141191261311361411461511561615499242934394449545964[[#This Row],[Frequency]]="Per Year",Services110697479848994991041091141191261311361411461511561615499242934394449545964[[#This Row],[Cost]]/12,Services110697479848994991041091141191261311361411461511561615499242934394449545964[[#This Row],[Frequency]]="Per month",Services110697479848994991041091141191261311361411461511561615499242934394449545964[[#This Row],[Cost]],Services110697479848994991041091141191261311361411461511561615499242934394449545964[[#This Row],[Frequency]]="Per day",Services110697479848994991041091141191261311361411461511561615499242934394449545964[[#This Row],[Cost]]*30,Services110697479848994991041091141191261311361411461511561615499242934394449545964[[#This Row],[Frequency]]="One-time",Services110697479848994991041091141191261311361411461511561615499242934394449545964[[#This Row],[Cost]]/SUM($C$18,$C$19)))/$C$17),Services110697479848994991041091141191261311361411461511561615499242934394449545964[[#This Row],[Unit]]="Per unit/space/household",(_xlfn.IFS(Services110697479848994991041091141191261311361411461511561615499242934394449545964[[#This Row],[Frequency]]="Per Year",Services110697479848994991041091141191261311361411461511561615499242934394449545964[[#This Row],[Cost]]/12,Services110697479848994991041091141191261311361411461511561615499242934394449545964[[#This Row],[Frequency]]="Per month",Services110697479848994991041091141191261311361411461511561615499242934394449545964[[#This Row],[Cost]],Services110697479848994991041091141191261311361411461511561615499242934394449545964[[#This Row],[Frequency]]="Per day",Services110697479848994991041091141191261311361411461511561615499242934394449545964[[#This Row],[Cost]]*30,Services110697479848994991041091141191261311361411461511561615499242934394449545964[[#This Row],[Frequency]]="One-time",Services110697479848994991041091141191261311361411461511561615499242934394449545964[[#This Row],[Cost]]/SUM($C$18,$C$19))))</f>
        <v>#N/A</v>
      </c>
      <c r="H96" s="46" t="e">
        <f>Services110697479848994991041091141191261311361411461511561615499242934394449545964[[#This Row],[Monthly Cost Per Unit]]*12</f>
        <v>#N/A</v>
      </c>
    </row>
    <row r="97" spans="1:8" x14ac:dyDescent="0.25">
      <c r="A97" s="75"/>
      <c r="B97" s="75"/>
      <c r="C97" s="77"/>
      <c r="D97" s="78"/>
      <c r="E97" s="79"/>
      <c r="F97" s="76"/>
      <c r="G97" s="53" t="e" cm="1">
        <f t="array" ref="G97">_xlfn.IFS(Services110697479848994991041091141191261311361411461511561615499242934394449545964[[#This Row],[Unit]]="Program-wide",((_xlfn.IFS(Services110697479848994991041091141191261311361411461511561615499242934394449545964[[#This Row],[Frequency]]="Per Year",Services110697479848994991041091141191261311361411461511561615499242934394449545964[[#This Row],[Cost]]/12,Services110697479848994991041091141191261311361411461511561615499242934394449545964[[#This Row],[Frequency]]="Per month",Services110697479848994991041091141191261311361411461511561615499242934394449545964[[#This Row],[Cost]],Services110697479848994991041091141191261311361411461511561615499242934394449545964[[#This Row],[Frequency]]="Per day",Services110697479848994991041091141191261311361411461511561615499242934394449545964[[#This Row],[Cost]]*30,Services110697479848994991041091141191261311361411461511561615499242934394449545964[[#This Row],[Frequency]]="One-time",Services110697479848994991041091141191261311361411461511561615499242934394449545964[[#This Row],[Cost]]/SUM($C$18,$C$19)))/$C$17),Services110697479848994991041091141191261311361411461511561615499242934394449545964[[#This Row],[Unit]]="Per unit/space/household",(_xlfn.IFS(Services110697479848994991041091141191261311361411461511561615499242934394449545964[[#This Row],[Frequency]]="Per Year",Services110697479848994991041091141191261311361411461511561615499242934394449545964[[#This Row],[Cost]]/12,Services110697479848994991041091141191261311361411461511561615499242934394449545964[[#This Row],[Frequency]]="Per month",Services110697479848994991041091141191261311361411461511561615499242934394449545964[[#This Row],[Cost]],Services110697479848994991041091141191261311361411461511561615499242934394449545964[[#This Row],[Frequency]]="Per day",Services110697479848994991041091141191261311361411461511561615499242934394449545964[[#This Row],[Cost]]*30,Services110697479848994991041091141191261311361411461511561615499242934394449545964[[#This Row],[Frequency]]="One-time",Services110697479848994991041091141191261311361411461511561615499242934394449545964[[#This Row],[Cost]]/SUM($C$18,$C$19))))</f>
        <v>#N/A</v>
      </c>
      <c r="H97" s="46" t="e">
        <f>Services110697479848994991041091141191261311361411461511561615499242934394449545964[[#This Row],[Monthly Cost Per Unit]]*12</f>
        <v>#N/A</v>
      </c>
    </row>
    <row r="98" spans="1:8" x14ac:dyDescent="0.25">
      <c r="A98" s="75"/>
      <c r="B98" s="75"/>
      <c r="C98" s="77"/>
      <c r="D98" s="78"/>
      <c r="E98" s="79"/>
      <c r="F98" s="76"/>
      <c r="G98" s="53" t="e" cm="1">
        <f t="array" ref="G98">_xlfn.IFS(Services110697479848994991041091141191261311361411461511561615499242934394449545964[[#This Row],[Unit]]="Program-wide",((_xlfn.IFS(Services110697479848994991041091141191261311361411461511561615499242934394449545964[[#This Row],[Frequency]]="Per Year",Services110697479848994991041091141191261311361411461511561615499242934394449545964[[#This Row],[Cost]]/12,Services110697479848994991041091141191261311361411461511561615499242934394449545964[[#This Row],[Frequency]]="Per month",Services110697479848994991041091141191261311361411461511561615499242934394449545964[[#This Row],[Cost]],Services110697479848994991041091141191261311361411461511561615499242934394449545964[[#This Row],[Frequency]]="Per day",Services110697479848994991041091141191261311361411461511561615499242934394449545964[[#This Row],[Cost]]*30,Services110697479848994991041091141191261311361411461511561615499242934394449545964[[#This Row],[Frequency]]="One-time",Services110697479848994991041091141191261311361411461511561615499242934394449545964[[#This Row],[Cost]]/SUM($C$18,$C$19)))/$C$17),Services110697479848994991041091141191261311361411461511561615499242934394449545964[[#This Row],[Unit]]="Per unit/space/household",(_xlfn.IFS(Services110697479848994991041091141191261311361411461511561615499242934394449545964[[#This Row],[Frequency]]="Per Year",Services110697479848994991041091141191261311361411461511561615499242934394449545964[[#This Row],[Cost]]/12,Services110697479848994991041091141191261311361411461511561615499242934394449545964[[#This Row],[Frequency]]="Per month",Services110697479848994991041091141191261311361411461511561615499242934394449545964[[#This Row],[Cost]],Services110697479848994991041091141191261311361411461511561615499242934394449545964[[#This Row],[Frequency]]="Per day",Services110697479848994991041091141191261311361411461511561615499242934394449545964[[#This Row],[Cost]]*30,Services110697479848994991041091141191261311361411461511561615499242934394449545964[[#This Row],[Frequency]]="One-time",Services110697479848994991041091141191261311361411461511561615499242934394449545964[[#This Row],[Cost]]/SUM($C$18,$C$19))))</f>
        <v>#N/A</v>
      </c>
      <c r="H98" s="46" t="e">
        <f>Services110697479848994991041091141191261311361411461511561615499242934394449545964[[#This Row],[Monthly Cost Per Unit]]*12</f>
        <v>#N/A</v>
      </c>
    </row>
    <row r="99" spans="1:8" x14ac:dyDescent="0.25">
      <c r="A99" s="75"/>
      <c r="B99" s="75"/>
      <c r="C99" s="77"/>
      <c r="D99" s="78"/>
      <c r="E99" s="79"/>
      <c r="F99" s="76"/>
      <c r="G99" s="53" t="e" cm="1">
        <f t="array" ref="G99">_xlfn.IFS(Services110697479848994991041091141191261311361411461511561615499242934394449545964[[#This Row],[Unit]]="Program-wide",((_xlfn.IFS(Services110697479848994991041091141191261311361411461511561615499242934394449545964[[#This Row],[Frequency]]="Per Year",Services110697479848994991041091141191261311361411461511561615499242934394449545964[[#This Row],[Cost]]/12,Services110697479848994991041091141191261311361411461511561615499242934394449545964[[#This Row],[Frequency]]="Per month",Services110697479848994991041091141191261311361411461511561615499242934394449545964[[#This Row],[Cost]],Services110697479848994991041091141191261311361411461511561615499242934394449545964[[#This Row],[Frequency]]="Per day",Services110697479848994991041091141191261311361411461511561615499242934394449545964[[#This Row],[Cost]]*30,Services110697479848994991041091141191261311361411461511561615499242934394449545964[[#This Row],[Frequency]]="One-time",Services110697479848994991041091141191261311361411461511561615499242934394449545964[[#This Row],[Cost]]/SUM($C$18,$C$19)))/$C$17),Services110697479848994991041091141191261311361411461511561615499242934394449545964[[#This Row],[Unit]]="Per unit/space/household",(_xlfn.IFS(Services110697479848994991041091141191261311361411461511561615499242934394449545964[[#This Row],[Frequency]]="Per Year",Services110697479848994991041091141191261311361411461511561615499242934394449545964[[#This Row],[Cost]]/12,Services110697479848994991041091141191261311361411461511561615499242934394449545964[[#This Row],[Frequency]]="Per month",Services110697479848994991041091141191261311361411461511561615499242934394449545964[[#This Row],[Cost]],Services110697479848994991041091141191261311361411461511561615499242934394449545964[[#This Row],[Frequency]]="Per day",Services110697479848994991041091141191261311361411461511561615499242934394449545964[[#This Row],[Cost]]*30,Services110697479848994991041091141191261311361411461511561615499242934394449545964[[#This Row],[Frequency]]="One-time",Services110697479848994991041091141191261311361411461511561615499242934394449545964[[#This Row],[Cost]]/SUM($C$18,$C$19))))</f>
        <v>#N/A</v>
      </c>
      <c r="H99" s="46" t="e">
        <f>Services110697479848994991041091141191261311361411461511561615499242934394449545964[[#This Row],[Monthly Cost Per Unit]]*12</f>
        <v>#N/A</v>
      </c>
    </row>
    <row r="100" spans="1:8" x14ac:dyDescent="0.25">
      <c r="A100" s="75"/>
      <c r="B100" s="75"/>
      <c r="C100" s="77"/>
      <c r="D100" s="78"/>
      <c r="E100" s="79"/>
      <c r="F100" s="76"/>
      <c r="G100" s="53" t="e" cm="1">
        <f t="array" ref="G100">_xlfn.IFS(Services110697479848994991041091141191261311361411461511561615499242934394449545964[[#This Row],[Unit]]="Program-wide",((_xlfn.IFS(Services110697479848994991041091141191261311361411461511561615499242934394449545964[[#This Row],[Frequency]]="Per Year",Services110697479848994991041091141191261311361411461511561615499242934394449545964[[#This Row],[Cost]]/12,Services110697479848994991041091141191261311361411461511561615499242934394449545964[[#This Row],[Frequency]]="Per month",Services110697479848994991041091141191261311361411461511561615499242934394449545964[[#This Row],[Cost]],Services110697479848994991041091141191261311361411461511561615499242934394449545964[[#This Row],[Frequency]]="Per day",Services110697479848994991041091141191261311361411461511561615499242934394449545964[[#This Row],[Cost]]*30,Services110697479848994991041091141191261311361411461511561615499242934394449545964[[#This Row],[Frequency]]="One-time",Services110697479848994991041091141191261311361411461511561615499242934394449545964[[#This Row],[Cost]]/SUM($C$18,$C$19)))/$C$17),Services110697479848994991041091141191261311361411461511561615499242934394449545964[[#This Row],[Unit]]="Per unit/space/household",(_xlfn.IFS(Services110697479848994991041091141191261311361411461511561615499242934394449545964[[#This Row],[Frequency]]="Per Year",Services110697479848994991041091141191261311361411461511561615499242934394449545964[[#This Row],[Cost]]/12,Services110697479848994991041091141191261311361411461511561615499242934394449545964[[#This Row],[Frequency]]="Per month",Services110697479848994991041091141191261311361411461511561615499242934394449545964[[#This Row],[Cost]],Services110697479848994991041091141191261311361411461511561615499242934394449545964[[#This Row],[Frequency]]="Per day",Services110697479848994991041091141191261311361411461511561615499242934394449545964[[#This Row],[Cost]]*30,Services110697479848994991041091141191261311361411461511561615499242934394449545964[[#This Row],[Frequency]]="One-time",Services110697479848994991041091141191261311361411461511561615499242934394449545964[[#This Row],[Cost]]/SUM($C$18,$C$19))))</f>
        <v>#N/A</v>
      </c>
      <c r="H100" s="46" t="e">
        <f>Services110697479848994991041091141191261311361411461511561615499242934394449545964[[#This Row],[Monthly Cost Per Unit]]*12</f>
        <v>#N/A</v>
      </c>
    </row>
    <row r="101" spans="1:8" x14ac:dyDescent="0.25">
      <c r="A101" s="75"/>
      <c r="B101" s="75"/>
      <c r="C101" s="77"/>
      <c r="D101" s="78"/>
      <c r="E101" s="79"/>
      <c r="F101" s="76"/>
      <c r="G101" s="53" t="e" cm="1">
        <f t="array" ref="G101">_xlfn.IFS(Services110697479848994991041091141191261311361411461511561615499242934394449545964[[#This Row],[Unit]]="Program-wide",((_xlfn.IFS(Services110697479848994991041091141191261311361411461511561615499242934394449545964[[#This Row],[Frequency]]="Per Year",Services110697479848994991041091141191261311361411461511561615499242934394449545964[[#This Row],[Cost]]/12,Services110697479848994991041091141191261311361411461511561615499242934394449545964[[#This Row],[Frequency]]="Per month",Services110697479848994991041091141191261311361411461511561615499242934394449545964[[#This Row],[Cost]],Services110697479848994991041091141191261311361411461511561615499242934394449545964[[#This Row],[Frequency]]="Per day",Services110697479848994991041091141191261311361411461511561615499242934394449545964[[#This Row],[Cost]]*30,Services110697479848994991041091141191261311361411461511561615499242934394449545964[[#This Row],[Frequency]]="One-time",Services110697479848994991041091141191261311361411461511561615499242934394449545964[[#This Row],[Cost]]/SUM($C$18,$C$19)))/$C$17),Services110697479848994991041091141191261311361411461511561615499242934394449545964[[#This Row],[Unit]]="Per unit/space/household",(_xlfn.IFS(Services110697479848994991041091141191261311361411461511561615499242934394449545964[[#This Row],[Frequency]]="Per Year",Services110697479848994991041091141191261311361411461511561615499242934394449545964[[#This Row],[Cost]]/12,Services110697479848994991041091141191261311361411461511561615499242934394449545964[[#This Row],[Frequency]]="Per month",Services110697479848994991041091141191261311361411461511561615499242934394449545964[[#This Row],[Cost]],Services110697479848994991041091141191261311361411461511561615499242934394449545964[[#This Row],[Frequency]]="Per day",Services110697479848994991041091141191261311361411461511561615499242934394449545964[[#This Row],[Cost]]*30,Services110697479848994991041091141191261311361411461511561615499242934394449545964[[#This Row],[Frequency]]="One-time",Services110697479848994991041091141191261311361411461511561615499242934394449545964[[#This Row],[Cost]]/SUM($C$18,$C$19))))</f>
        <v>#N/A</v>
      </c>
      <c r="H101" s="46" t="e">
        <f>Services110697479848994991041091141191261311361411461511561615499242934394449545964[[#This Row],[Monthly Cost Per Unit]]*12</f>
        <v>#N/A</v>
      </c>
    </row>
    <row r="102" spans="1:8" x14ac:dyDescent="0.25">
      <c r="A102" s="75"/>
      <c r="B102" s="75"/>
      <c r="C102" s="77"/>
      <c r="D102" s="78"/>
      <c r="E102" s="79"/>
      <c r="F102" s="76"/>
      <c r="G102" s="53" t="e" cm="1">
        <f t="array" ref="G102">_xlfn.IFS(Services110697479848994991041091141191261311361411461511561615499242934394449545964[[#This Row],[Unit]]="Program-wide",((_xlfn.IFS(Services110697479848994991041091141191261311361411461511561615499242934394449545964[[#This Row],[Frequency]]="Per Year",Services110697479848994991041091141191261311361411461511561615499242934394449545964[[#This Row],[Cost]]/12,Services110697479848994991041091141191261311361411461511561615499242934394449545964[[#This Row],[Frequency]]="Per month",Services110697479848994991041091141191261311361411461511561615499242934394449545964[[#This Row],[Cost]],Services110697479848994991041091141191261311361411461511561615499242934394449545964[[#This Row],[Frequency]]="Per day",Services110697479848994991041091141191261311361411461511561615499242934394449545964[[#This Row],[Cost]]*30,Services110697479848994991041091141191261311361411461511561615499242934394449545964[[#This Row],[Frequency]]="One-time",Services110697479848994991041091141191261311361411461511561615499242934394449545964[[#This Row],[Cost]]/SUM($C$18,$C$19)))/$C$17),Services110697479848994991041091141191261311361411461511561615499242934394449545964[[#This Row],[Unit]]="Per unit/space/household",(_xlfn.IFS(Services110697479848994991041091141191261311361411461511561615499242934394449545964[[#This Row],[Frequency]]="Per Year",Services110697479848994991041091141191261311361411461511561615499242934394449545964[[#This Row],[Cost]]/12,Services110697479848994991041091141191261311361411461511561615499242934394449545964[[#This Row],[Frequency]]="Per month",Services110697479848994991041091141191261311361411461511561615499242934394449545964[[#This Row],[Cost]],Services110697479848994991041091141191261311361411461511561615499242934394449545964[[#This Row],[Frequency]]="Per day",Services110697479848994991041091141191261311361411461511561615499242934394449545964[[#This Row],[Cost]]*30,Services110697479848994991041091141191261311361411461511561615499242934394449545964[[#This Row],[Frequency]]="One-time",Services110697479848994991041091141191261311361411461511561615499242934394449545964[[#This Row],[Cost]]/SUM($C$18,$C$19))))</f>
        <v>#N/A</v>
      </c>
      <c r="H102" s="46" t="e">
        <f>Services110697479848994991041091141191261311361411461511561615499242934394449545964[[#This Row],[Monthly Cost Per Unit]]*12</f>
        <v>#N/A</v>
      </c>
    </row>
    <row r="103" spans="1:8" x14ac:dyDescent="0.25">
      <c r="A103" s="75"/>
      <c r="B103" s="75"/>
      <c r="C103" s="77"/>
      <c r="D103" s="78"/>
      <c r="E103" s="79"/>
      <c r="F103" s="76"/>
      <c r="G103" s="53" t="e" cm="1">
        <f t="array" ref="G103">_xlfn.IFS(Services110697479848994991041091141191261311361411461511561615499242934394449545964[[#This Row],[Unit]]="Program-wide",((_xlfn.IFS(Services110697479848994991041091141191261311361411461511561615499242934394449545964[[#This Row],[Frequency]]="Per Year",Services110697479848994991041091141191261311361411461511561615499242934394449545964[[#This Row],[Cost]]/12,Services110697479848994991041091141191261311361411461511561615499242934394449545964[[#This Row],[Frequency]]="Per month",Services110697479848994991041091141191261311361411461511561615499242934394449545964[[#This Row],[Cost]],Services110697479848994991041091141191261311361411461511561615499242934394449545964[[#This Row],[Frequency]]="Per day",Services110697479848994991041091141191261311361411461511561615499242934394449545964[[#This Row],[Cost]]*30,Services110697479848994991041091141191261311361411461511561615499242934394449545964[[#This Row],[Frequency]]="One-time",Services110697479848994991041091141191261311361411461511561615499242934394449545964[[#This Row],[Cost]]/SUM($C$18,$C$19)))/$C$17),Services110697479848994991041091141191261311361411461511561615499242934394449545964[[#This Row],[Unit]]="Per unit/space/household",(_xlfn.IFS(Services110697479848994991041091141191261311361411461511561615499242934394449545964[[#This Row],[Frequency]]="Per Year",Services110697479848994991041091141191261311361411461511561615499242934394449545964[[#This Row],[Cost]]/12,Services110697479848994991041091141191261311361411461511561615499242934394449545964[[#This Row],[Frequency]]="Per month",Services110697479848994991041091141191261311361411461511561615499242934394449545964[[#This Row],[Cost]],Services110697479848994991041091141191261311361411461511561615499242934394449545964[[#This Row],[Frequency]]="Per day",Services110697479848994991041091141191261311361411461511561615499242934394449545964[[#This Row],[Cost]]*30,Services110697479848994991041091141191261311361411461511561615499242934394449545964[[#This Row],[Frequency]]="One-time",Services110697479848994991041091141191261311361411461511561615499242934394449545964[[#This Row],[Cost]]/SUM($C$18,$C$19))))</f>
        <v>#N/A</v>
      </c>
      <c r="H103" s="46" t="e">
        <f>Services110697479848994991041091141191261311361411461511561615499242934394449545964[[#This Row],[Monthly Cost Per Unit]]*12</f>
        <v>#N/A</v>
      </c>
    </row>
    <row r="104" spans="1:8" x14ac:dyDescent="0.25">
      <c r="A104" s="75"/>
      <c r="B104" s="75"/>
      <c r="C104" s="77"/>
      <c r="D104" s="78"/>
      <c r="E104" s="79"/>
      <c r="F104" s="76"/>
      <c r="G104" s="53" t="e" cm="1">
        <f t="array" ref="G104">_xlfn.IFS(Services110697479848994991041091141191261311361411461511561615499242934394449545964[[#This Row],[Unit]]="Program-wide",((_xlfn.IFS(Services110697479848994991041091141191261311361411461511561615499242934394449545964[[#This Row],[Frequency]]="Per Year",Services110697479848994991041091141191261311361411461511561615499242934394449545964[[#This Row],[Cost]]/12,Services110697479848994991041091141191261311361411461511561615499242934394449545964[[#This Row],[Frequency]]="Per month",Services110697479848994991041091141191261311361411461511561615499242934394449545964[[#This Row],[Cost]],Services110697479848994991041091141191261311361411461511561615499242934394449545964[[#This Row],[Frequency]]="Per day",Services110697479848994991041091141191261311361411461511561615499242934394449545964[[#This Row],[Cost]]*30,Services110697479848994991041091141191261311361411461511561615499242934394449545964[[#This Row],[Frequency]]="One-time",Services110697479848994991041091141191261311361411461511561615499242934394449545964[[#This Row],[Cost]]/SUM($C$18,$C$19)))/$C$17),Services110697479848994991041091141191261311361411461511561615499242934394449545964[[#This Row],[Unit]]="Per unit/space/household",(_xlfn.IFS(Services110697479848994991041091141191261311361411461511561615499242934394449545964[[#This Row],[Frequency]]="Per Year",Services110697479848994991041091141191261311361411461511561615499242934394449545964[[#This Row],[Cost]]/12,Services110697479848994991041091141191261311361411461511561615499242934394449545964[[#This Row],[Frequency]]="Per month",Services110697479848994991041091141191261311361411461511561615499242934394449545964[[#This Row],[Cost]],Services110697479848994991041091141191261311361411461511561615499242934394449545964[[#This Row],[Frequency]]="Per day",Services110697479848994991041091141191261311361411461511561615499242934394449545964[[#This Row],[Cost]]*30,Services110697479848994991041091141191261311361411461511561615499242934394449545964[[#This Row],[Frequency]]="One-time",Services110697479848994991041091141191261311361411461511561615499242934394449545964[[#This Row],[Cost]]/SUM($C$18,$C$19))))</f>
        <v>#N/A</v>
      </c>
      <c r="H104" s="46" t="e">
        <f>Services110697479848994991041091141191261311361411461511561615499242934394449545964[[#This Row],[Monthly Cost Per Unit]]*12</f>
        <v>#N/A</v>
      </c>
    </row>
    <row r="105" spans="1:8" x14ac:dyDescent="0.25">
      <c r="A105" s="75"/>
      <c r="B105" s="75"/>
      <c r="C105" s="77"/>
      <c r="D105" s="78"/>
      <c r="E105" s="79"/>
      <c r="F105" s="76"/>
      <c r="G105" s="53" t="e" cm="1">
        <f t="array" ref="G105">_xlfn.IFS(Services110697479848994991041091141191261311361411461511561615499242934394449545964[[#This Row],[Unit]]="Program-wide",((_xlfn.IFS(Services110697479848994991041091141191261311361411461511561615499242934394449545964[[#This Row],[Frequency]]="Per Year",Services110697479848994991041091141191261311361411461511561615499242934394449545964[[#This Row],[Cost]]/12,Services110697479848994991041091141191261311361411461511561615499242934394449545964[[#This Row],[Frequency]]="Per month",Services110697479848994991041091141191261311361411461511561615499242934394449545964[[#This Row],[Cost]],Services110697479848994991041091141191261311361411461511561615499242934394449545964[[#This Row],[Frequency]]="Per day",Services110697479848994991041091141191261311361411461511561615499242934394449545964[[#This Row],[Cost]]*30,Services110697479848994991041091141191261311361411461511561615499242934394449545964[[#This Row],[Frequency]]="One-time",Services110697479848994991041091141191261311361411461511561615499242934394449545964[[#This Row],[Cost]]/SUM($C$18,$C$19)))/$C$17),Services110697479848994991041091141191261311361411461511561615499242934394449545964[[#This Row],[Unit]]="Per unit/space/household",(_xlfn.IFS(Services110697479848994991041091141191261311361411461511561615499242934394449545964[[#This Row],[Frequency]]="Per Year",Services110697479848994991041091141191261311361411461511561615499242934394449545964[[#This Row],[Cost]]/12,Services110697479848994991041091141191261311361411461511561615499242934394449545964[[#This Row],[Frequency]]="Per month",Services110697479848994991041091141191261311361411461511561615499242934394449545964[[#This Row],[Cost]],Services110697479848994991041091141191261311361411461511561615499242934394449545964[[#This Row],[Frequency]]="Per day",Services110697479848994991041091141191261311361411461511561615499242934394449545964[[#This Row],[Cost]]*30,Services110697479848994991041091141191261311361411461511561615499242934394449545964[[#This Row],[Frequency]]="One-time",Services110697479848994991041091141191261311361411461511561615499242934394449545964[[#This Row],[Cost]]/SUM($C$18,$C$19))))</f>
        <v>#N/A</v>
      </c>
      <c r="H105" s="46" t="e">
        <f>Services110697479848994991041091141191261311361411461511561615499242934394449545964[[#This Row],[Monthly Cost Per Unit]]*12</f>
        <v>#N/A</v>
      </c>
    </row>
    <row r="106" spans="1:8" x14ac:dyDescent="0.25">
      <c r="A106" s="75"/>
      <c r="B106" s="75"/>
      <c r="C106" s="77"/>
      <c r="D106" s="78"/>
      <c r="E106" s="79"/>
      <c r="F106" s="76"/>
      <c r="G106" s="53" t="e" cm="1">
        <f t="array" ref="G106">_xlfn.IFS(Services110697479848994991041091141191261311361411461511561615499242934394449545964[[#This Row],[Unit]]="Program-wide",((_xlfn.IFS(Services110697479848994991041091141191261311361411461511561615499242934394449545964[[#This Row],[Frequency]]="Per Year",Services110697479848994991041091141191261311361411461511561615499242934394449545964[[#This Row],[Cost]]/12,Services110697479848994991041091141191261311361411461511561615499242934394449545964[[#This Row],[Frequency]]="Per month",Services110697479848994991041091141191261311361411461511561615499242934394449545964[[#This Row],[Cost]],Services110697479848994991041091141191261311361411461511561615499242934394449545964[[#This Row],[Frequency]]="Per day",Services110697479848994991041091141191261311361411461511561615499242934394449545964[[#This Row],[Cost]]*30,Services110697479848994991041091141191261311361411461511561615499242934394449545964[[#This Row],[Frequency]]="One-time",Services110697479848994991041091141191261311361411461511561615499242934394449545964[[#This Row],[Cost]]/SUM($C$18,$C$19)))/$C$17),Services110697479848994991041091141191261311361411461511561615499242934394449545964[[#This Row],[Unit]]="Per unit/space/household",(_xlfn.IFS(Services110697479848994991041091141191261311361411461511561615499242934394449545964[[#This Row],[Frequency]]="Per Year",Services110697479848994991041091141191261311361411461511561615499242934394449545964[[#This Row],[Cost]]/12,Services110697479848994991041091141191261311361411461511561615499242934394449545964[[#This Row],[Frequency]]="Per month",Services110697479848994991041091141191261311361411461511561615499242934394449545964[[#This Row],[Cost]],Services110697479848994991041091141191261311361411461511561615499242934394449545964[[#This Row],[Frequency]]="Per day",Services110697479848994991041091141191261311361411461511561615499242934394449545964[[#This Row],[Cost]]*30,Services110697479848994991041091141191261311361411461511561615499242934394449545964[[#This Row],[Frequency]]="One-time",Services110697479848994991041091141191261311361411461511561615499242934394449545964[[#This Row],[Cost]]/SUM($C$18,$C$19))))</f>
        <v>#N/A</v>
      </c>
      <c r="H106" s="46" t="e">
        <f>Services110697479848994991041091141191261311361411461511561615499242934394449545964[[#This Row],[Monthly Cost Per Unit]]*12</f>
        <v>#N/A</v>
      </c>
    </row>
    <row r="107" spans="1:8" x14ac:dyDescent="0.25">
      <c r="A107" s="80"/>
      <c r="B107" s="80"/>
      <c r="C107" s="82"/>
      <c r="D107" s="83"/>
      <c r="E107" s="84"/>
      <c r="F107" s="81"/>
      <c r="G107" s="55" t="e" cm="1">
        <f t="array" ref="G107">_xlfn.IFS(Services110697479848994991041091141191261311361411461511561615499242934394449545964[[#This Row],[Unit]]="Program-wide",((_xlfn.IFS(Services110697479848994991041091141191261311361411461511561615499242934394449545964[[#This Row],[Frequency]]="Per Year",Services110697479848994991041091141191261311361411461511561615499242934394449545964[[#This Row],[Cost]]/12,Services110697479848994991041091141191261311361411461511561615499242934394449545964[[#This Row],[Frequency]]="Per month",Services110697479848994991041091141191261311361411461511561615499242934394449545964[[#This Row],[Cost]],Services110697479848994991041091141191261311361411461511561615499242934394449545964[[#This Row],[Frequency]]="Per day",Services110697479848994991041091141191261311361411461511561615499242934394449545964[[#This Row],[Cost]]*30,Services110697479848994991041091141191261311361411461511561615499242934394449545964[[#This Row],[Frequency]]="One-time",Services110697479848994991041091141191261311361411461511561615499242934394449545964[[#This Row],[Cost]]/SUM($C$18,$C$19)))/$C$17),Services110697479848994991041091141191261311361411461511561615499242934394449545964[[#This Row],[Unit]]="Per unit/space/household",(_xlfn.IFS(Services110697479848994991041091141191261311361411461511561615499242934394449545964[[#This Row],[Frequency]]="Per Year",Services110697479848994991041091141191261311361411461511561615499242934394449545964[[#This Row],[Cost]]/12,Services110697479848994991041091141191261311361411461511561615499242934394449545964[[#This Row],[Frequency]]="Per month",Services110697479848994991041091141191261311361411461511561615499242934394449545964[[#This Row],[Cost]],Services110697479848994991041091141191261311361411461511561615499242934394449545964[[#This Row],[Frequency]]="Per day",Services110697479848994991041091141191261311361411461511561615499242934394449545964[[#This Row],[Cost]]*30,Services110697479848994991041091141191261311361411461511561615499242934394449545964[[#This Row],[Frequency]]="One-time",Services110697479848994991041091141191261311361411461511561615499242934394449545964[[#This Row],[Cost]]/SUM($C$18,$C$19))))</f>
        <v>#N/A</v>
      </c>
      <c r="H107" s="46" t="e">
        <f>Services110697479848994991041091141191261311361411461511561615499242934394449545964[[#This Row],[Monthly Cost Per Unit]]*12</f>
        <v>#N/A</v>
      </c>
    </row>
    <row r="108" spans="1:8" x14ac:dyDescent="0.25">
      <c r="A108" s="107" t="s">
        <v>20</v>
      </c>
      <c r="B108" s="107"/>
      <c r="C108" s="108" t="s">
        <v>68</v>
      </c>
      <c r="D108" s="109"/>
      <c r="E108" s="108"/>
      <c r="F108" s="108"/>
      <c r="G108" s="118"/>
      <c r="H108" s="111">
        <f>(SUMIF(Services110697479848994991041091141191261311361411461511561615499242934394449545964[Duration],"While homeless only",Services110697479848994991041091141191261311361411461511561615499242934394449545964[Monthly Cost Per Unit]))*12</f>
        <v>0</v>
      </c>
    </row>
    <row r="109" spans="1:8" x14ac:dyDescent="0.25">
      <c r="A109" s="112"/>
      <c r="B109" s="112"/>
      <c r="C109" s="108" t="s">
        <v>63</v>
      </c>
      <c r="D109" s="109"/>
      <c r="E109" s="108"/>
      <c r="F109" s="108"/>
      <c r="G109" s="111"/>
      <c r="H109" s="111">
        <f>(SUMIF(Services110697479848994991041091141191261311361411461511561615499242934394449545964[Duration],"While housed only",Services110697479848994991041091141191261311361411461511561615499242934394449545964[Monthly Cost Per Unit]))*12</f>
        <v>0</v>
      </c>
    </row>
    <row r="110" spans="1:8" x14ac:dyDescent="0.25">
      <c r="A110" s="112"/>
      <c r="B110" s="112"/>
      <c r="C110" s="108" t="s">
        <v>58</v>
      </c>
      <c r="D110" s="109"/>
      <c r="E110" s="108"/>
      <c r="F110" s="108"/>
      <c r="G110" s="111"/>
      <c r="H110" s="111">
        <f>(SUMIF(Services110697479848994991041091141191261311361411461511561615499242934394449545964[Duration],"Homeless &amp; housed",Services110697479848994991041091141191261311361411461511561615499242934394449545964[Monthly Cost Per Unit]))*12</f>
        <v>0</v>
      </c>
    </row>
    <row r="111" spans="1:8" ht="15.75" thickBot="1" x14ac:dyDescent="0.3">
      <c r="A111" s="113"/>
      <c r="B111" s="113"/>
      <c r="C111" s="114" t="s">
        <v>207</v>
      </c>
      <c r="D111" s="115"/>
      <c r="E111" s="114"/>
      <c r="F111" s="114"/>
      <c r="G111" s="117"/>
      <c r="H111" s="117">
        <f>(SUMIF(Services110697479848994991041091141191261311361411461511561615499242934394449545964[Duration],"N/A",Services110697479848994991041091141191261311361411461511561615499242934394449545964[Monthly Cost Per Unit]))*12</f>
        <v>0</v>
      </c>
    </row>
    <row r="112" spans="1:8" ht="16.5" thickTop="1" thickBot="1" x14ac:dyDescent="0.3">
      <c r="A112" s="113"/>
      <c r="B112" s="113"/>
      <c r="C112" s="114" t="s">
        <v>42</v>
      </c>
      <c r="D112" s="115"/>
      <c r="E112" s="114"/>
      <c r="F112" s="114"/>
      <c r="G112" s="117"/>
      <c r="H112" s="117">
        <f>SUM(H108:H111)</f>
        <v>0</v>
      </c>
    </row>
    <row r="113" spans="1:9" ht="15.75" thickTop="1" x14ac:dyDescent="0.25">
      <c r="A113"/>
      <c r="F113"/>
      <c r="G113"/>
      <c r="H113" s="128"/>
    </row>
    <row r="114" spans="1:9" x14ac:dyDescent="0.25">
      <c r="A114" s="274" t="s">
        <v>90</v>
      </c>
      <c r="B114" s="274"/>
      <c r="C114" s="274"/>
      <c r="D114" s="274"/>
      <c r="E114" s="274"/>
      <c r="F114" s="274"/>
      <c r="G114" s="274"/>
      <c r="H114" s="274"/>
    </row>
    <row r="115" spans="1:9" ht="33" customHeight="1" outlineLevel="1" x14ac:dyDescent="0.25">
      <c r="A115" s="294" t="s">
        <v>91</v>
      </c>
      <c r="B115" s="294"/>
      <c r="C115" s="294"/>
      <c r="D115" s="294"/>
      <c r="E115" s="294"/>
      <c r="F115" s="294"/>
      <c r="G115" s="294"/>
      <c r="H115" s="294"/>
    </row>
    <row r="116" spans="1:9" s="3" customFormat="1" ht="28.35" customHeight="1" x14ac:dyDescent="0.25">
      <c r="A116" s="131" t="s">
        <v>51</v>
      </c>
      <c r="B116" s="131" t="s">
        <v>52</v>
      </c>
      <c r="C116" s="131" t="s">
        <v>53</v>
      </c>
      <c r="D116" s="131" t="s">
        <v>54</v>
      </c>
      <c r="E116" s="131" t="s">
        <v>55</v>
      </c>
      <c r="F116" s="131" t="s">
        <v>56</v>
      </c>
      <c r="G116" s="131" t="s">
        <v>57</v>
      </c>
      <c r="H116" s="132" t="s">
        <v>20</v>
      </c>
    </row>
    <row r="117" spans="1:9" x14ac:dyDescent="0.25">
      <c r="A117" s="75"/>
      <c r="B117" s="75"/>
      <c r="C117" s="77"/>
      <c r="D117" s="78"/>
      <c r="E117" s="79"/>
      <c r="F117" s="79"/>
      <c r="G117" s="53" t="e" cm="1">
        <f t="array" ref="G117">_xlfn.IFS(Other11170758085909510010511011512012713213714214715215716255100253035404550556065[[#This Row],[Unit]]="Program-wide",((_xlfn.IFS(Other11170758085909510010511011512012713213714214715215716255100253035404550556065[[#This Row],[Frequency]]="Per Year",Other11170758085909510010511011512012713213714214715215716255100253035404550556065[[#This Row],[Cost]]/12,Other11170758085909510010511011512012713213714214715215716255100253035404550556065[[#This Row],[Frequency]]="Per month",Other11170758085909510010511011512012713213714214715215716255100253035404550556065[[#This Row],[Cost]],Other11170758085909510010511011512012713213714214715215716255100253035404550556065[[#This Row],[Frequency]]="Per day",Other11170758085909510010511011512012713213714214715215716255100253035404550556065[[#This Row],[Cost]]*30,Other11170758085909510010511011512012713213714214715215716255100253035404550556065[[#This Row],[Frequency]]="One-time",Other11170758085909510010511011512012713213714214715215716255100253035404550556065[[#This Row],[Cost]]/SUM($C$18,$C$19)))/$C$17),Other11170758085909510010511011512012713213714214715215716255100253035404550556065[[#This Row],[Unit]]="Per unit/space/household",(_xlfn.IFS(Other11170758085909510010511011512012713213714214715215716255100253035404550556065[[#This Row],[Frequency]]="Per Year",Other11170758085909510010511011512012713213714214715215716255100253035404550556065[[#This Row],[Cost]]/12,Other11170758085909510010511011512012713213714214715215716255100253035404550556065[[#This Row],[Frequency]]="Per month",Other11170758085909510010511011512012713213714214715215716255100253035404550556065[[#This Row],[Cost]],Other11170758085909510010511011512012713213714214715215716255100253035404550556065[[#This Row],[Frequency]]="Per day",Other11170758085909510010511011512012713213714214715215716255100253035404550556065[[#This Row],[Cost]]*30,Other11170758085909510010511011512012713213714214715215716255100253035404550556065[[#This Row],[Frequency]]="One-time",Other11170758085909510010511011512012713213714214715215716255100253035404550556065[[#This Row],[Cost]]/SUM($C$18,$C$19))))</f>
        <v>#N/A</v>
      </c>
      <c r="H117" s="46" t="e">
        <f>Other11170758085909510010511011512012713213714214715215716255100253035404550556065[[#This Row],[Monthly Cost Per Unit]]*12</f>
        <v>#N/A</v>
      </c>
    </row>
    <row r="118" spans="1:9" x14ac:dyDescent="0.25">
      <c r="A118" s="75"/>
      <c r="B118" s="75"/>
      <c r="C118" s="77"/>
      <c r="D118" s="78"/>
      <c r="E118" s="79"/>
      <c r="F118" s="79"/>
      <c r="G118" s="53" t="e" cm="1">
        <f t="array" ref="G118">_xlfn.IFS(Other11170758085909510010511011512012713213714214715215716255100253035404550556065[[#This Row],[Unit]]="Program-wide",((_xlfn.IFS(Other11170758085909510010511011512012713213714214715215716255100253035404550556065[[#This Row],[Frequency]]="Per Year",Other11170758085909510010511011512012713213714214715215716255100253035404550556065[[#This Row],[Cost]]/12,Other11170758085909510010511011512012713213714214715215716255100253035404550556065[[#This Row],[Frequency]]="Per month",Other11170758085909510010511011512012713213714214715215716255100253035404550556065[[#This Row],[Cost]],Other11170758085909510010511011512012713213714214715215716255100253035404550556065[[#This Row],[Frequency]]="Per day",Other11170758085909510010511011512012713213714214715215716255100253035404550556065[[#This Row],[Cost]]*30,Other11170758085909510010511011512012713213714214715215716255100253035404550556065[[#This Row],[Frequency]]="One-time",Other11170758085909510010511011512012713213714214715215716255100253035404550556065[[#This Row],[Cost]]/SUM($C$18,$C$19)))/$C$17),Other11170758085909510010511011512012713213714214715215716255100253035404550556065[[#This Row],[Unit]]="Per unit/space/household",(_xlfn.IFS(Other11170758085909510010511011512012713213714214715215716255100253035404550556065[[#This Row],[Frequency]]="Per Year",Other11170758085909510010511011512012713213714214715215716255100253035404550556065[[#This Row],[Cost]]/12,Other11170758085909510010511011512012713213714214715215716255100253035404550556065[[#This Row],[Frequency]]="Per month",Other11170758085909510010511011512012713213714214715215716255100253035404550556065[[#This Row],[Cost]],Other11170758085909510010511011512012713213714214715215716255100253035404550556065[[#This Row],[Frequency]]="Per day",Other11170758085909510010511011512012713213714214715215716255100253035404550556065[[#This Row],[Cost]]*30,Other11170758085909510010511011512012713213714214715215716255100253035404550556065[[#This Row],[Frequency]]="One-time",Other11170758085909510010511011512012713213714214715215716255100253035404550556065[[#This Row],[Cost]]/SUM($C$18,$C$19))))</f>
        <v>#N/A</v>
      </c>
      <c r="H118" s="46" t="e">
        <f>Other11170758085909510010511011512012713213714214715215716255100253035404550556065[[#This Row],[Monthly Cost Per Unit]]*12</f>
        <v>#N/A</v>
      </c>
    </row>
    <row r="119" spans="1:9" x14ac:dyDescent="0.25">
      <c r="A119" s="75"/>
      <c r="B119" s="75"/>
      <c r="C119" s="77"/>
      <c r="D119" s="78"/>
      <c r="E119" s="79"/>
      <c r="F119" s="79"/>
      <c r="G119" s="53" t="e" cm="1">
        <f t="array" ref="G119">_xlfn.IFS(Other11170758085909510010511011512012713213714214715215716255100253035404550556065[[#This Row],[Unit]]="Program-wide",((_xlfn.IFS(Other11170758085909510010511011512012713213714214715215716255100253035404550556065[[#This Row],[Frequency]]="Per Year",Other11170758085909510010511011512012713213714214715215716255100253035404550556065[[#This Row],[Cost]]/12,Other11170758085909510010511011512012713213714214715215716255100253035404550556065[[#This Row],[Frequency]]="Per month",Other11170758085909510010511011512012713213714214715215716255100253035404550556065[[#This Row],[Cost]],Other11170758085909510010511011512012713213714214715215716255100253035404550556065[[#This Row],[Frequency]]="Per day",Other11170758085909510010511011512012713213714214715215716255100253035404550556065[[#This Row],[Cost]]*30,Other11170758085909510010511011512012713213714214715215716255100253035404550556065[[#This Row],[Frequency]]="One-time",Other11170758085909510010511011512012713213714214715215716255100253035404550556065[[#This Row],[Cost]]/SUM($C$18,$C$19)))/$C$17),Other11170758085909510010511011512012713213714214715215716255100253035404550556065[[#This Row],[Unit]]="Per unit/space/household",(_xlfn.IFS(Other11170758085909510010511011512012713213714214715215716255100253035404550556065[[#This Row],[Frequency]]="Per Year",Other11170758085909510010511011512012713213714214715215716255100253035404550556065[[#This Row],[Cost]]/12,Other11170758085909510010511011512012713213714214715215716255100253035404550556065[[#This Row],[Frequency]]="Per month",Other11170758085909510010511011512012713213714214715215716255100253035404550556065[[#This Row],[Cost]],Other11170758085909510010511011512012713213714214715215716255100253035404550556065[[#This Row],[Frequency]]="Per day",Other11170758085909510010511011512012713213714214715215716255100253035404550556065[[#This Row],[Cost]]*30,Other11170758085909510010511011512012713213714214715215716255100253035404550556065[[#This Row],[Frequency]]="One-time",Other11170758085909510010511011512012713213714214715215716255100253035404550556065[[#This Row],[Cost]]/SUM($C$18,$C$19))))</f>
        <v>#N/A</v>
      </c>
      <c r="H119" s="46" t="e">
        <f>Other11170758085909510010511011512012713213714214715215716255100253035404550556065[[#This Row],[Monthly Cost Per Unit]]*12</f>
        <v>#N/A</v>
      </c>
    </row>
    <row r="120" spans="1:9" x14ac:dyDescent="0.25">
      <c r="A120" s="75"/>
      <c r="B120" s="75"/>
      <c r="C120" s="77"/>
      <c r="D120" s="78"/>
      <c r="E120" s="79"/>
      <c r="F120" s="79"/>
      <c r="G120" s="53" t="e" cm="1">
        <f t="array" ref="G120">_xlfn.IFS(Other11170758085909510010511011512012713213714214715215716255100253035404550556065[[#This Row],[Unit]]="Program-wide",((_xlfn.IFS(Other11170758085909510010511011512012713213714214715215716255100253035404550556065[[#This Row],[Frequency]]="Per Year",Other11170758085909510010511011512012713213714214715215716255100253035404550556065[[#This Row],[Cost]]/12,Other11170758085909510010511011512012713213714214715215716255100253035404550556065[[#This Row],[Frequency]]="Per month",Other11170758085909510010511011512012713213714214715215716255100253035404550556065[[#This Row],[Cost]],Other11170758085909510010511011512012713213714214715215716255100253035404550556065[[#This Row],[Frequency]]="Per day",Other11170758085909510010511011512012713213714214715215716255100253035404550556065[[#This Row],[Cost]]*30,Other11170758085909510010511011512012713213714214715215716255100253035404550556065[[#This Row],[Frequency]]="One-time",Other11170758085909510010511011512012713213714214715215716255100253035404550556065[[#This Row],[Cost]]/SUM($C$18,$C$19)))/$C$17),Other11170758085909510010511011512012713213714214715215716255100253035404550556065[[#This Row],[Unit]]="Per unit/space/household",(_xlfn.IFS(Other11170758085909510010511011512012713213714214715215716255100253035404550556065[[#This Row],[Frequency]]="Per Year",Other11170758085909510010511011512012713213714214715215716255100253035404550556065[[#This Row],[Cost]]/12,Other11170758085909510010511011512012713213714214715215716255100253035404550556065[[#This Row],[Frequency]]="Per month",Other11170758085909510010511011512012713213714214715215716255100253035404550556065[[#This Row],[Cost]],Other11170758085909510010511011512012713213714214715215716255100253035404550556065[[#This Row],[Frequency]]="Per day",Other11170758085909510010511011512012713213714214715215716255100253035404550556065[[#This Row],[Cost]]*30,Other11170758085909510010511011512012713213714214715215716255100253035404550556065[[#This Row],[Frequency]]="One-time",Other11170758085909510010511011512012713213714214715215716255100253035404550556065[[#This Row],[Cost]]/SUM($C$18,$C$19))))</f>
        <v>#N/A</v>
      </c>
      <c r="H120" s="46" t="e">
        <f>Other11170758085909510010511011512012713213714214715215716255100253035404550556065[[#This Row],[Monthly Cost Per Unit]]*12</f>
        <v>#N/A</v>
      </c>
    </row>
    <row r="121" spans="1:9" s="1" customFormat="1" x14ac:dyDescent="0.25">
      <c r="A121" s="80"/>
      <c r="B121" s="80"/>
      <c r="C121" s="82"/>
      <c r="D121" s="83"/>
      <c r="E121" s="84"/>
      <c r="F121" s="84"/>
      <c r="G121" s="55" t="e" cm="1">
        <f t="array" ref="G121">_xlfn.IFS(Other11170758085909510010511011512012713213714214715215716255100253035404550556065[[#This Row],[Unit]]="Program-wide",((_xlfn.IFS(Other11170758085909510010511011512012713213714214715215716255100253035404550556065[[#This Row],[Frequency]]="Per Year",Other11170758085909510010511011512012713213714214715215716255100253035404550556065[[#This Row],[Cost]]/12,Other11170758085909510010511011512012713213714214715215716255100253035404550556065[[#This Row],[Frequency]]="Per month",Other11170758085909510010511011512012713213714214715215716255100253035404550556065[[#This Row],[Cost]],Other11170758085909510010511011512012713213714214715215716255100253035404550556065[[#This Row],[Frequency]]="Per day",Other11170758085909510010511011512012713213714214715215716255100253035404550556065[[#This Row],[Cost]]*30,Other11170758085909510010511011512012713213714214715215716255100253035404550556065[[#This Row],[Frequency]]="One-time",Other11170758085909510010511011512012713213714214715215716255100253035404550556065[[#This Row],[Cost]]/SUM($C$18,$C$19)))/$C$17),Other11170758085909510010511011512012713213714214715215716255100253035404550556065[[#This Row],[Unit]]="Per unit/space/household",(_xlfn.IFS(Other11170758085909510010511011512012713213714214715215716255100253035404550556065[[#This Row],[Frequency]]="Per Year",Other11170758085909510010511011512012713213714214715215716255100253035404550556065[[#This Row],[Cost]]/12,Other11170758085909510010511011512012713213714214715215716255100253035404550556065[[#This Row],[Frequency]]="Per month",Other11170758085909510010511011512012713213714214715215716255100253035404550556065[[#This Row],[Cost]],Other11170758085909510010511011512012713213714214715215716255100253035404550556065[[#This Row],[Frequency]]="Per day",Other11170758085909510010511011512012713213714214715215716255100253035404550556065[[#This Row],[Cost]]*30,Other11170758085909510010511011512012713213714214715215716255100253035404550556065[[#This Row],[Frequency]]="One-time",Other11170758085909510010511011512012713213714214715215716255100253035404550556065[[#This Row],[Cost]]/SUM($C$18,$C$19))))</f>
        <v>#N/A</v>
      </c>
      <c r="H121" s="46" t="e">
        <f>Other11170758085909510010511011512012713213714214715215716255100253035404550556065[[#This Row],[Monthly Cost Per Unit]]*12</f>
        <v>#N/A</v>
      </c>
      <c r="I121"/>
    </row>
    <row r="122" spans="1:9" x14ac:dyDescent="0.25">
      <c r="A122" s="107" t="s">
        <v>20</v>
      </c>
      <c r="B122" s="107"/>
      <c r="C122" s="108" t="s">
        <v>68</v>
      </c>
      <c r="D122" s="109"/>
      <c r="E122" s="108"/>
      <c r="F122" s="108"/>
      <c r="G122" s="118"/>
      <c r="H122" s="111">
        <f>(SUMIF(Other11170758085909510010511011512012713213714214715215716255100253035404550556065[Duration],"While homeless only",Other11170758085909510010511011512012713213714214715215716255100253035404550556065[Monthly Cost Per Unit]))*12</f>
        <v>0</v>
      </c>
    </row>
    <row r="123" spans="1:9" x14ac:dyDescent="0.25">
      <c r="A123" s="112"/>
      <c r="B123" s="112"/>
      <c r="C123" s="108" t="s">
        <v>63</v>
      </c>
      <c r="D123" s="109"/>
      <c r="E123" s="108"/>
      <c r="F123" s="108"/>
      <c r="G123" s="111"/>
      <c r="H123" s="111">
        <f>(SUMIF(Other11170758085909510010511011512012713213714214715215716255100253035404550556065[Duration],"While housed only",Other11170758085909510010511011512012713213714214715215716255100253035404550556065[Monthly Cost Per Unit]))*12</f>
        <v>0</v>
      </c>
    </row>
    <row r="124" spans="1:9" x14ac:dyDescent="0.25">
      <c r="A124" s="112"/>
      <c r="B124" s="112"/>
      <c r="C124" s="108" t="s">
        <v>58</v>
      </c>
      <c r="D124" s="109"/>
      <c r="E124" s="108"/>
      <c r="F124" s="108"/>
      <c r="G124" s="111"/>
      <c r="H124" s="111">
        <f>(SUMIF(Other11170758085909510010511011512012713213714214715215716255100253035404550556065[Duration],"Homeless &amp; housed",Other11170758085909510010511011512012713213714214715215716255100253035404550556065[Monthly Cost Per Unit]))*12</f>
        <v>0</v>
      </c>
    </row>
    <row r="125" spans="1:9" ht="15.75" thickBot="1" x14ac:dyDescent="0.3">
      <c r="A125" s="113"/>
      <c r="B125" s="113"/>
      <c r="C125" s="114" t="s">
        <v>207</v>
      </c>
      <c r="D125" s="115"/>
      <c r="E125" s="114"/>
      <c r="F125" s="114"/>
      <c r="G125" s="117"/>
      <c r="H125" s="117">
        <f>(SUMIF(Other11170758085909510010511011512012713213714214715215716255100253035404550556065[Duration],"N/A",Other11170758085909510010511011512012713213714214715215716255100253035404550556065[Monthly Cost Per Unit]))*12</f>
        <v>0</v>
      </c>
    </row>
    <row r="126" spans="1:9" ht="16.5" thickTop="1" thickBot="1" x14ac:dyDescent="0.3">
      <c r="A126" s="113"/>
      <c r="B126" s="113"/>
      <c r="C126" s="114" t="s">
        <v>42</v>
      </c>
      <c r="D126" s="115"/>
      <c r="E126" s="114"/>
      <c r="F126" s="114"/>
      <c r="G126" s="117"/>
      <c r="H126" s="117">
        <f>SUM(H122:H125)</f>
        <v>0</v>
      </c>
    </row>
    <row r="127" spans="1:9" ht="15.75" thickTop="1" x14ac:dyDescent="0.25"/>
    <row r="128" spans="1:9" x14ac:dyDescent="0.25">
      <c r="A128" s="269" t="s">
        <v>92</v>
      </c>
      <c r="B128" s="269"/>
      <c r="C128" s="269"/>
      <c r="D128" s="269"/>
      <c r="E128" s="269"/>
      <c r="F128" s="269"/>
      <c r="G128" s="269"/>
      <c r="H128" s="269"/>
    </row>
    <row r="129" spans="1:8" x14ac:dyDescent="0.25">
      <c r="A129" s="304" t="s">
        <v>20</v>
      </c>
      <c r="B129" s="147"/>
      <c r="C129" s="108" t="s">
        <v>68</v>
      </c>
      <c r="D129" s="109"/>
      <c r="E129" s="108"/>
      <c r="F129" s="108"/>
      <c r="G129" s="118"/>
      <c r="H129" s="111">
        <f>SUM(H32,H53,H86, H108,H122)</f>
        <v>0</v>
      </c>
    </row>
    <row r="130" spans="1:8" x14ac:dyDescent="0.25">
      <c r="A130" s="305"/>
      <c r="B130" s="148"/>
      <c r="C130" s="108" t="s">
        <v>63</v>
      </c>
      <c r="D130" s="109"/>
      <c r="E130" s="108"/>
      <c r="F130" s="108"/>
      <c r="G130" s="111"/>
      <c r="H130" s="111">
        <f>SUM(H33,H54,H87, H109,H123)</f>
        <v>0</v>
      </c>
    </row>
    <row r="131" spans="1:8" x14ac:dyDescent="0.25">
      <c r="A131" s="305"/>
      <c r="B131" s="148"/>
      <c r="C131" s="108" t="s">
        <v>58</v>
      </c>
      <c r="D131" s="109"/>
      <c r="E131" s="108"/>
      <c r="F131" s="108"/>
      <c r="G131" s="111"/>
      <c r="H131" s="111">
        <f>SUM(H34,H55,H88, H110,H124)</f>
        <v>0</v>
      </c>
    </row>
    <row r="132" spans="1:8" ht="15.75" thickBot="1" x14ac:dyDescent="0.3">
      <c r="A132" s="305"/>
      <c r="B132" s="148"/>
      <c r="C132" s="114" t="s">
        <v>207</v>
      </c>
      <c r="D132" s="115"/>
      <c r="E132" s="114"/>
      <c r="F132" s="114"/>
      <c r="G132" s="117"/>
      <c r="H132" s="149">
        <f>SUM(H35,H56,H89, H111,H125)</f>
        <v>0</v>
      </c>
    </row>
    <row r="133" spans="1:8" ht="16.5" thickTop="1" thickBot="1" x14ac:dyDescent="0.3">
      <c r="A133" s="306"/>
      <c r="B133" s="150"/>
      <c r="C133" s="130" t="s">
        <v>42</v>
      </c>
      <c r="D133" s="130"/>
      <c r="E133" s="130"/>
      <c r="F133" s="130"/>
      <c r="G133" s="151"/>
      <c r="H133" s="117">
        <f>SUM(H36,H57,H90, H112,H126)</f>
        <v>0</v>
      </c>
    </row>
    <row r="134" spans="1:8" ht="15.75" thickTop="1" x14ac:dyDescent="0.25"/>
  </sheetData>
  <sheetProtection sheet="1" formatCells="0" formatColumns="0" formatRows="0" insertRows="0"/>
  <mergeCells count="41">
    <mergeCell ref="A128:H128"/>
    <mergeCell ref="A129:A133"/>
    <mergeCell ref="A25:H25"/>
    <mergeCell ref="A38:H38"/>
    <mergeCell ref="A39:H39"/>
    <mergeCell ref="A59:H59"/>
    <mergeCell ref="A60:H60"/>
    <mergeCell ref="A61:F61"/>
    <mergeCell ref="A62:F62"/>
    <mergeCell ref="A74:F74"/>
    <mergeCell ref="G74:H74"/>
    <mergeCell ref="A75:H75"/>
    <mergeCell ref="A92:H92"/>
    <mergeCell ref="A93:H93"/>
    <mergeCell ref="A114:H114"/>
    <mergeCell ref="A115:H115"/>
    <mergeCell ref="C19:D19"/>
    <mergeCell ref="A16:D16"/>
    <mergeCell ref="A15:D15"/>
    <mergeCell ref="A10:B10"/>
    <mergeCell ref="C10:D10"/>
    <mergeCell ref="A11:B11"/>
    <mergeCell ref="C11:D11"/>
    <mergeCell ref="A12:B12"/>
    <mergeCell ref="C12:D12"/>
    <mergeCell ref="A22:H22"/>
    <mergeCell ref="A24:H24"/>
    <mergeCell ref="A2:H2"/>
    <mergeCell ref="A7:D7"/>
    <mergeCell ref="A9:D9"/>
    <mergeCell ref="F9:G9"/>
    <mergeCell ref="A13:B13"/>
    <mergeCell ref="C13:D13"/>
    <mergeCell ref="A4:D4"/>
    <mergeCell ref="A5:B5"/>
    <mergeCell ref="C5:D5"/>
    <mergeCell ref="A17:B17"/>
    <mergeCell ref="C17:D17"/>
    <mergeCell ref="A18:B18"/>
    <mergeCell ref="C18:D18"/>
    <mergeCell ref="A19:B19"/>
  </mergeCells>
  <dataValidations count="12">
    <dataValidation type="custom" allowBlank="1" showInputMessage="1" showErrorMessage="1" prompt="This would be the amount of time a client is enrolled in the program before they have a housing move-in date in HMIS." sqref="C18:D18" xr:uid="{3180421C-590B-4439-BF5B-6094909DA079}">
      <formula1>ISNUMBER(VALUE(C18))</formula1>
    </dataValidation>
    <dataValidation type="custom" allowBlank="1" showInputMessage="1" showErrorMessage="1" prompt="This would be the amount of time a client is enrolled in the program after they have a housing move-in date in HMIS." sqref="C19:D19" xr:uid="{0A6BB26F-DC87-4E3F-B6E0-7B86F7AD343C}">
      <formula1>ISNUMBER(VALUE(C19))</formula1>
    </dataValidation>
    <dataValidation allowBlank="1" showErrorMessage="1" sqref="C20 F14:G14" xr:uid="{EA1F1075-F99F-4131-A73D-59AFE72FA8C4}"/>
    <dataValidation allowBlank="1" showInputMessage="1" showErrorMessage="1" prompt="This would be the amount of time a client is enrolled in the program before they have a housing move-in date in HMIS." sqref="A18:B18" xr:uid="{36BA046C-4D25-48B6-B860-F88613F8AED0}"/>
    <dataValidation allowBlank="1" showInputMessage="1" showErrorMessage="1" prompt="This would be the amount of time a client is enrolled in the program after they have a housing move-in date in HMIS." sqref="A19:B20 D20" xr:uid="{B4ABE459-BA97-467A-B78E-1C625E3225DE}"/>
    <dataValidation allowBlank="1" showInputMessage="1" showErrorMessage="1" prompt="This column is auto-calculated based on the average rental cost and average utility cost per unit information." sqref="F63:F72" xr:uid="{F1DAF892-5C34-438E-8D1B-8C63F4C54F69}"/>
    <dataValidation allowBlank="1" showInputMessage="1" showErrorMessage="1" prompt="This field required a selection from a drop-down menu. To find this menu, click on the cell and click the down arrow on the right-hand of the cell. " sqref="C26 C40 C76 C94 C116" xr:uid="{8C6E20D4-BB7B-4E7E-B0B1-BE82BA375E8C}"/>
    <dataValidation allowBlank="1" showInputMessage="1" showErrorMessage="1" prompt="This field required a selection from a drop-down menu. To find this menu, click on the cell and click the down arrow on the right-hand of the cell." sqref="E26:F26 E40:F40 E76:F76 E94:F94 E116:F116" xr:uid="{5EF3329A-FD8B-45F7-B61A-EBF8E453DB62}"/>
    <dataValidation allowBlank="1" showInputMessage="1" showErrorMessage="1" prompt="_x000a_" sqref="G13" xr:uid="{76DB7809-335B-446A-BD52-AF5F0A420214}"/>
    <dataValidation type="custom" allowBlank="1" showInputMessage="1" showErrorMessage="1" sqref="D27:D31 D41:D52 D77:D85 D95:D107 D117:D121 B64:E71" xr:uid="{E2274797-CF89-4633-8733-404848028FBB}">
      <formula1>ISNUMBER(VALUE(B27))</formula1>
    </dataValidation>
    <dataValidation type="custom" allowBlank="1" showInputMessage="1" showErrorMessage="1" prompt="Project capacity is the number of units available at a point in time. Depending on the project type, a unit may represent a rental subsidy, a room or bed in a congregate setting, a motel room, a supportive services slot, etc." sqref="C17:D17" xr:uid="{F1A88866-BFE1-4337-B967-4430FC1E28A4}">
      <formula1>ISNUMBER(VALUE(C17))</formula1>
    </dataValidation>
    <dataValidation allowBlank="1" showInputMessage="1" showErrorMessage="1" prompt="Project capacity is the number of units available at a point in time. Depending on the project type, a unit may represent a rental subsidy, a room or bed in a congregate setting, a motel room, a supportive services slot, etc." sqref="A17:B17" xr:uid="{547EC0DE-1710-45AC-A921-646B3C5FC3BA}"/>
  </dataValidations>
  <pageMargins left="0.7" right="0.7" top="0.75" bottom="0.75" header="0.3" footer="0.3"/>
  <pageSetup orientation="portrait" horizontalDpi="90" verticalDpi="90" r:id="rId1"/>
  <tableParts count="5">
    <tablePart r:id="rId2"/>
    <tablePart r:id="rId3"/>
    <tablePart r:id="rId4"/>
    <tablePart r:id="rId5"/>
    <tablePart r:id="rId6"/>
  </tableParts>
  <extLst>
    <ext xmlns:x14="http://schemas.microsoft.com/office/spreadsheetml/2009/9/main" uri="{CCE6A557-97BC-4b89-ADB6-D9C93CAAB3DF}">
      <x14:dataValidations xmlns:xm="http://schemas.microsoft.com/office/excel/2006/main" count="9">
        <x14:dataValidation type="list" allowBlank="1" showInputMessage="1" showErrorMessage="1" prompt="This field required a selection from a drop-down menu. To find this menu, click on the cell and click the down arrow on the right-hand of the cell. " xr:uid="{2F8939BF-A1A4-4037-A590-C9914CC7E670}">
          <x14:formula1>
            <xm:f>Allowable!$E$2:$E$4</xm:f>
          </x14:formula1>
          <xm:sqref>C117:C121 C95:C107 C77:C85</xm:sqref>
        </x14:dataValidation>
        <x14:dataValidation type="list" allowBlank="1" showInputMessage="1" showErrorMessage="1" xr:uid="{7D059898-694D-45BD-A15E-2A15476549E7}">
          <x14:formula1>
            <xm:f>Allowable!$B$2:$B$3</xm:f>
          </x14:formula1>
          <xm:sqref>F58</xm:sqref>
        </x14:dataValidation>
        <x14:dataValidation type="list" allowBlank="1" showInputMessage="1" showErrorMessage="1" xr:uid="{2B9BBC66-140D-462C-83D3-935B6E759FD0}">
          <x14:formula1>
            <xm:f>Allowable!$A$2:$A$5</xm:f>
          </x14:formula1>
          <xm:sqref>E58</xm:sqref>
        </x14:dataValidation>
        <x14:dataValidation type="list" allowBlank="1" showInputMessage="1" showErrorMessage="1" prompt="This field required a selection from a drop-down menu. To find this menu, click on the cell and click the down arrow on the right-hand of the cell." xr:uid="{4DE0BD14-767E-4D07-9D02-6AB29C87F6E7}">
          <x14:formula1>
            <xm:f>Allowable!$A$2:$A$5</xm:f>
          </x14:formula1>
          <xm:sqref>E27:E31 E41:E52</xm:sqref>
        </x14:dataValidation>
        <x14:dataValidation type="list" allowBlank="1" showInputMessage="1" showErrorMessage="1" prompt="This field required a selection from a drop-down menu. To find this menu, click on the cell and click the down arrow on the right-hand of the cell. " xr:uid="{EF01EB0D-FFD8-40E6-85BF-BF69A853AA4A}">
          <x14:formula1>
            <xm:f>Allowable!$A$2:$A$5</xm:f>
          </x14:formula1>
          <xm:sqref>E41:E52 E77:E85 E95:E107 E117:E121</xm:sqref>
        </x14:dataValidation>
        <x14:dataValidation type="list" allowBlank="1" showInputMessage="1" showErrorMessage="1" prompt="This field required a selection from a drop-down menu. To find this menu, click on the cell and click the down arrow on the right-hand of the cell. " xr:uid="{A2A08826-BB07-4C8B-BD7E-0AC1B57F65CD}">
          <x14:formula1>
            <xm:f>Allowable!$B$2:$B$3</xm:f>
          </x14:formula1>
          <xm:sqref>F41:F52 F77:F85 F95:F107 F117:F121</xm:sqref>
        </x14:dataValidation>
        <x14:dataValidation type="list" allowBlank="1" showInputMessage="1" showErrorMessage="1" prompt="This field required a selection from a drop-down menu. To find this menu, click on the cell and click the down arrow on the right-hand of the cell." xr:uid="{B185B4B3-A472-4B1C-A832-703B373FF490}">
          <x14:formula1>
            <xm:f>Allowable!$B$2:$B$3</xm:f>
          </x14:formula1>
          <xm:sqref>F27:F31</xm:sqref>
        </x14:dataValidation>
        <x14:dataValidation type="list" allowBlank="1" showInputMessage="1" showErrorMessage="1" xr:uid="{7A488EFE-29DD-4B9A-8B7B-6802EC17F03E}">
          <x14:formula1>
            <xm:f>Allowable!$D$2:$D$13</xm:f>
          </x14:formula1>
          <xm:sqref>C11:D11</xm:sqref>
        </x14:dataValidation>
        <x14:dataValidation type="list" allowBlank="1" showInputMessage="1" showErrorMessage="1" prompt="This field required a selection from a drop-down menu. To find this menu, click on the cell and click the down arrow on the right-hand of the cell. " xr:uid="{EDCDE978-757B-4A41-9941-3051B2917260}">
          <x14:formula1>
            <xm:f>Allowable!$E$2:$E$5</xm:f>
          </x14:formula1>
          <xm:sqref>C27:C31 C41:C52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488FB-C657-49DD-A305-6C20C426C171}">
  <dimension ref="A1:E14"/>
  <sheetViews>
    <sheetView workbookViewId="0">
      <selection activeCell="E7" sqref="E7"/>
    </sheetView>
  </sheetViews>
  <sheetFormatPr defaultRowHeight="15" x14ac:dyDescent="0.25"/>
  <cols>
    <col min="1" max="1" width="22.140625" customWidth="1"/>
    <col min="2" max="2" width="22.7109375" bestFit="1" customWidth="1"/>
    <col min="3" max="3" width="16.42578125" customWidth="1"/>
    <col min="4" max="4" width="31.42578125" bestFit="1" customWidth="1"/>
    <col min="5" max="5" width="20.42578125" customWidth="1"/>
  </cols>
  <sheetData>
    <row r="1" spans="1:5" x14ac:dyDescent="0.25">
      <c r="A1" s="1" t="s">
        <v>56</v>
      </c>
      <c r="B1" s="1" t="s">
        <v>93</v>
      </c>
      <c r="C1" s="1" t="s">
        <v>94</v>
      </c>
      <c r="D1" s="1" t="s">
        <v>95</v>
      </c>
      <c r="E1" s="1" t="s">
        <v>96</v>
      </c>
    </row>
    <row r="2" spans="1:5" x14ac:dyDescent="0.25">
      <c r="A2" t="s">
        <v>66</v>
      </c>
      <c r="B2" t="s">
        <v>64</v>
      </c>
      <c r="C2" t="s">
        <v>97</v>
      </c>
      <c r="D2" t="s">
        <v>98</v>
      </c>
      <c r="E2" t="s">
        <v>68</v>
      </c>
    </row>
    <row r="3" spans="1:5" x14ac:dyDescent="0.25">
      <c r="A3" t="s">
        <v>65</v>
      </c>
      <c r="B3" t="s">
        <v>60</v>
      </c>
      <c r="C3" t="s">
        <v>99</v>
      </c>
      <c r="D3" t="s">
        <v>110</v>
      </c>
      <c r="E3" t="s">
        <v>63</v>
      </c>
    </row>
    <row r="4" spans="1:5" x14ac:dyDescent="0.25">
      <c r="A4" t="s">
        <v>59</v>
      </c>
      <c r="C4" t="s">
        <v>100</v>
      </c>
      <c r="D4" t="s">
        <v>111</v>
      </c>
      <c r="E4" t="s">
        <v>58</v>
      </c>
    </row>
    <row r="5" spans="1:5" x14ac:dyDescent="0.25">
      <c r="A5" t="s">
        <v>67</v>
      </c>
      <c r="D5" t="s">
        <v>5</v>
      </c>
      <c r="E5" t="s">
        <v>206</v>
      </c>
    </row>
    <row r="6" spans="1:5" x14ac:dyDescent="0.25">
      <c r="D6" t="s">
        <v>101</v>
      </c>
    </row>
    <row r="7" spans="1:5" x14ac:dyDescent="0.25">
      <c r="A7" s="1"/>
      <c r="D7" t="s">
        <v>112</v>
      </c>
    </row>
    <row r="8" spans="1:5" x14ac:dyDescent="0.25">
      <c r="A8" s="1"/>
      <c r="B8" s="1"/>
      <c r="C8" s="1"/>
      <c r="D8" t="s">
        <v>113</v>
      </c>
    </row>
    <row r="9" spans="1:5" x14ac:dyDescent="0.25">
      <c r="D9" t="s">
        <v>114</v>
      </c>
    </row>
    <row r="10" spans="1:5" x14ac:dyDescent="0.25">
      <c r="D10" t="s">
        <v>115</v>
      </c>
    </row>
    <row r="11" spans="1:5" x14ac:dyDescent="0.25">
      <c r="B11" s="5"/>
      <c r="D11" t="s">
        <v>116</v>
      </c>
    </row>
    <row r="12" spans="1:5" x14ac:dyDescent="0.25">
      <c r="B12" s="5"/>
      <c r="D12" t="s">
        <v>117</v>
      </c>
    </row>
    <row r="13" spans="1:5" x14ac:dyDescent="0.25">
      <c r="B13" s="5"/>
      <c r="D13" t="s">
        <v>87</v>
      </c>
    </row>
    <row r="14" spans="1:5" x14ac:dyDescent="0.25">
      <c r="B14" s="6"/>
    </row>
  </sheetData>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0A347-B524-4D45-B460-B3A6D51A3D70}">
  <dimension ref="A1:J18"/>
  <sheetViews>
    <sheetView zoomScaleNormal="100" workbookViewId="0">
      <selection activeCell="A2" sqref="A2:J2"/>
    </sheetView>
  </sheetViews>
  <sheetFormatPr defaultRowHeight="15" x14ac:dyDescent="0.25"/>
  <cols>
    <col min="1" max="3" width="2.5703125" customWidth="1"/>
    <col min="4" max="10" width="18.5703125" customWidth="1"/>
  </cols>
  <sheetData>
    <row r="1" spans="1:10" ht="15.75" thickBot="1" x14ac:dyDescent="0.3">
      <c r="A1" s="182"/>
      <c r="B1" s="182"/>
      <c r="C1" s="182"/>
      <c r="D1" s="182"/>
      <c r="E1" s="182"/>
      <c r="F1" s="182"/>
      <c r="G1" s="182"/>
      <c r="H1" s="182"/>
      <c r="I1" s="182"/>
      <c r="J1" s="182"/>
    </row>
    <row r="2" spans="1:10" ht="26.25" x14ac:dyDescent="0.4">
      <c r="A2" s="227" t="s">
        <v>195</v>
      </c>
      <c r="B2" s="228"/>
      <c r="C2" s="228"/>
      <c r="D2" s="228"/>
      <c r="E2" s="228"/>
      <c r="F2" s="228"/>
      <c r="G2" s="228"/>
      <c r="H2" s="228"/>
      <c r="I2" s="228"/>
      <c r="J2" s="229"/>
    </row>
    <row r="3" spans="1:10" ht="43.5" customHeight="1" x14ac:dyDescent="0.25">
      <c r="A3" s="230" t="s">
        <v>214</v>
      </c>
      <c r="B3" s="231"/>
      <c r="C3" s="231"/>
      <c r="D3" s="231"/>
      <c r="E3" s="231"/>
      <c r="F3" s="231"/>
      <c r="G3" s="231"/>
      <c r="H3" s="231"/>
      <c r="I3" s="231"/>
      <c r="J3" s="232"/>
    </row>
    <row r="4" spans="1:10" ht="7.5" customHeight="1" x14ac:dyDescent="0.25">
      <c r="A4" s="236"/>
      <c r="B4" s="237"/>
      <c r="C4" s="237"/>
      <c r="D4" s="237"/>
      <c r="E4" s="237"/>
      <c r="F4" s="237"/>
      <c r="G4" s="237"/>
      <c r="H4" s="237"/>
      <c r="I4" s="237"/>
      <c r="J4" s="238"/>
    </row>
    <row r="5" spans="1:10" ht="43.5" customHeight="1" x14ac:dyDescent="0.25">
      <c r="A5" s="195" t="s">
        <v>209</v>
      </c>
      <c r="B5" s="190"/>
      <c r="C5" s="190"/>
      <c r="D5" s="190"/>
      <c r="E5" s="190"/>
      <c r="F5" s="190"/>
      <c r="G5" s="190"/>
      <c r="H5" s="190"/>
      <c r="I5" s="190"/>
      <c r="J5" s="191"/>
    </row>
    <row r="6" spans="1:10" ht="7.5" customHeight="1" x14ac:dyDescent="0.25">
      <c r="A6" s="236"/>
      <c r="B6" s="237"/>
      <c r="C6" s="237"/>
      <c r="D6" s="237"/>
      <c r="E6" s="237"/>
      <c r="F6" s="237"/>
      <c r="G6" s="237"/>
      <c r="H6" s="237"/>
      <c r="I6" s="237"/>
      <c r="J6" s="238"/>
    </row>
    <row r="7" spans="1:10" ht="14.45" customHeight="1" x14ac:dyDescent="0.25">
      <c r="A7" s="183" t="s">
        <v>210</v>
      </c>
      <c r="B7" s="184"/>
      <c r="C7" s="184"/>
      <c r="D7" s="184"/>
      <c r="E7" s="184"/>
      <c r="F7" s="184"/>
      <c r="G7" s="184"/>
      <c r="H7" s="184"/>
      <c r="I7" s="184"/>
      <c r="J7" s="185"/>
    </row>
    <row r="8" spans="1:10" ht="7.5" customHeight="1" x14ac:dyDescent="0.25">
      <c r="A8" s="236"/>
      <c r="B8" s="237"/>
      <c r="C8" s="237"/>
      <c r="D8" s="237"/>
      <c r="E8" s="237"/>
      <c r="F8" s="237"/>
      <c r="G8" s="237"/>
      <c r="H8" s="237"/>
      <c r="I8" s="237"/>
      <c r="J8" s="238"/>
    </row>
    <row r="9" spans="1:10" ht="14.45" customHeight="1" x14ac:dyDescent="0.25">
      <c r="A9" s="183" t="s">
        <v>196</v>
      </c>
      <c r="B9" s="184"/>
      <c r="C9" s="184"/>
      <c r="D9" s="184"/>
      <c r="E9" s="184"/>
      <c r="F9" s="184"/>
      <c r="G9" s="184"/>
      <c r="H9" s="184"/>
      <c r="I9" s="184"/>
      <c r="J9" s="185"/>
    </row>
    <row r="10" spans="1:10" ht="14.45" customHeight="1" x14ac:dyDescent="0.25">
      <c r="A10" s="100"/>
      <c r="B10" s="95" t="s">
        <v>149</v>
      </c>
      <c r="C10" s="189" t="s">
        <v>197</v>
      </c>
      <c r="D10" s="187"/>
      <c r="E10" s="187"/>
      <c r="F10" s="187"/>
      <c r="G10" s="187"/>
      <c r="H10" s="187"/>
      <c r="I10" s="187"/>
      <c r="J10" s="188"/>
    </row>
    <row r="11" spans="1:10" ht="14.45" customHeight="1" x14ac:dyDescent="0.25">
      <c r="A11" s="100"/>
      <c r="B11" s="95" t="s">
        <v>149</v>
      </c>
      <c r="C11" s="189" t="s">
        <v>211</v>
      </c>
      <c r="D11" s="187"/>
      <c r="E11" s="187"/>
      <c r="F11" s="187"/>
      <c r="G11" s="187"/>
      <c r="H11" s="187"/>
      <c r="I11" s="187"/>
      <c r="J11" s="188"/>
    </row>
    <row r="12" spans="1:10" ht="14.45" customHeight="1" x14ac:dyDescent="0.25">
      <c r="A12" s="100"/>
      <c r="B12" s="95" t="s">
        <v>149</v>
      </c>
      <c r="C12" s="189" t="s">
        <v>198</v>
      </c>
      <c r="D12" s="187"/>
      <c r="E12" s="187"/>
      <c r="F12" s="187"/>
      <c r="G12" s="187"/>
      <c r="H12" s="187"/>
      <c r="I12" s="187"/>
      <c r="J12" s="188"/>
    </row>
    <row r="13" spans="1:10" ht="7.5" customHeight="1" x14ac:dyDescent="0.25">
      <c r="A13" s="236"/>
      <c r="B13" s="237"/>
      <c r="C13" s="237"/>
      <c r="D13" s="237"/>
      <c r="E13" s="237"/>
      <c r="F13" s="237"/>
      <c r="G13" s="237"/>
      <c r="H13" s="237"/>
      <c r="I13" s="237"/>
      <c r="J13" s="238"/>
    </row>
    <row r="14" spans="1:10" ht="14.45" customHeight="1" x14ac:dyDescent="0.25">
      <c r="A14" s="244" t="s">
        <v>234</v>
      </c>
      <c r="B14" s="245"/>
      <c r="C14" s="245"/>
      <c r="D14" s="245"/>
      <c r="E14" s="245"/>
      <c r="F14" s="245"/>
      <c r="G14" s="245"/>
      <c r="H14" s="245"/>
      <c r="I14" s="245"/>
      <c r="J14" s="246"/>
    </row>
    <row r="15" spans="1:10" ht="7.5" customHeight="1" x14ac:dyDescent="0.25">
      <c r="A15" s="236"/>
      <c r="B15" s="237"/>
      <c r="C15" s="237"/>
      <c r="D15" s="237"/>
      <c r="E15" s="237"/>
      <c r="F15" s="237"/>
      <c r="G15" s="237"/>
      <c r="H15" s="237"/>
      <c r="I15" s="237"/>
      <c r="J15" s="238"/>
    </row>
    <row r="16" spans="1:10" ht="29.1" customHeight="1" x14ac:dyDescent="0.25">
      <c r="A16" s="195" t="s">
        <v>212</v>
      </c>
      <c r="B16" s="190"/>
      <c r="C16" s="190"/>
      <c r="D16" s="190"/>
      <c r="E16" s="190"/>
      <c r="F16" s="190"/>
      <c r="G16" s="190"/>
      <c r="H16" s="190"/>
      <c r="I16" s="190"/>
      <c r="J16" s="191"/>
    </row>
    <row r="17" spans="1:10" ht="7.5" customHeight="1" x14ac:dyDescent="0.25">
      <c r="A17" s="236"/>
      <c r="B17" s="237"/>
      <c r="C17" s="237"/>
      <c r="D17" s="237"/>
      <c r="E17" s="237"/>
      <c r="F17" s="237"/>
      <c r="G17" s="237"/>
      <c r="H17" s="237"/>
      <c r="I17" s="237"/>
      <c r="J17" s="238"/>
    </row>
    <row r="18" spans="1:10" ht="14.45" customHeight="1" thickBot="1" x14ac:dyDescent="0.3">
      <c r="A18" s="241" t="s">
        <v>213</v>
      </c>
      <c r="B18" s="242"/>
      <c r="C18" s="242"/>
      <c r="D18" s="242"/>
      <c r="E18" s="242"/>
      <c r="F18" s="242"/>
      <c r="G18" s="242"/>
      <c r="H18" s="242"/>
      <c r="I18" s="242"/>
      <c r="J18" s="243"/>
    </row>
  </sheetData>
  <sheetProtection sheet="1" formatColumns="0" formatRows="0"/>
  <mergeCells count="18">
    <mergeCell ref="A1:J1"/>
    <mergeCell ref="A2:J2"/>
    <mergeCell ref="A3:J3"/>
    <mergeCell ref="A4:J4"/>
    <mergeCell ref="A15:J15"/>
    <mergeCell ref="A18:J18"/>
    <mergeCell ref="A7:J7"/>
    <mergeCell ref="A5:J5"/>
    <mergeCell ref="A17:J17"/>
    <mergeCell ref="A9:J9"/>
    <mergeCell ref="A16:J16"/>
    <mergeCell ref="C10:J10"/>
    <mergeCell ref="C11:J11"/>
    <mergeCell ref="C12:J12"/>
    <mergeCell ref="A6:J6"/>
    <mergeCell ref="A8:J8"/>
    <mergeCell ref="A13:J13"/>
    <mergeCell ref="A14:J14"/>
  </mergeCells>
  <hyperlinks>
    <hyperlink ref="A14:J14" r:id="rId1" display="For complete information on CoC eligible costs, see: CoC Program Components - Eligible Costs" xr:uid="{26086F0B-AF2B-4CB9-A491-1155BB226EC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A3103-CF5E-476C-BAC2-5A734D74DD53}">
  <dimension ref="A2:H61"/>
  <sheetViews>
    <sheetView showGridLines="0" zoomScaleNormal="100" workbookViewId="0">
      <selection activeCell="J1" sqref="J1"/>
    </sheetView>
  </sheetViews>
  <sheetFormatPr defaultColWidth="8.7109375" defaultRowHeight="15" x14ac:dyDescent="0.25"/>
  <cols>
    <col min="1" max="1" width="19.140625" style="106" customWidth="1"/>
    <col min="2" max="2" width="24" style="106" customWidth="1"/>
    <col min="3" max="3" width="15.42578125" style="106" customWidth="1"/>
    <col min="4" max="4" width="15.28515625" style="106" customWidth="1"/>
    <col min="5" max="5" width="15.42578125" style="106" customWidth="1"/>
    <col min="6" max="8" width="15.28515625" style="106" customWidth="1"/>
    <col min="9" max="9" width="2.42578125" style="106" customWidth="1"/>
    <col min="10" max="10" width="24.140625" style="106" customWidth="1"/>
    <col min="11" max="11" width="13.42578125" style="106" customWidth="1"/>
    <col min="12" max="12" width="2.42578125" style="106" customWidth="1"/>
    <col min="13" max="13" width="26.42578125" style="106" customWidth="1"/>
    <col min="14" max="14" width="13.42578125" style="106" customWidth="1"/>
    <col min="15" max="15" width="2.42578125" style="106" customWidth="1"/>
    <col min="16" max="16" width="24.28515625" style="106" customWidth="1"/>
    <col min="17" max="17" width="13.7109375" style="106" customWidth="1"/>
    <col min="18" max="18" width="2.42578125" style="106" customWidth="1"/>
    <col min="19" max="19" width="16.7109375" style="106" customWidth="1"/>
    <col min="20" max="20" width="15" style="106" bestFit="1" customWidth="1"/>
    <col min="21" max="21" width="15.5703125" style="106" bestFit="1" customWidth="1"/>
    <col min="22" max="22" width="7.85546875" style="106" bestFit="1" customWidth="1"/>
    <col min="23" max="23" width="12.5703125" style="106" bestFit="1" customWidth="1"/>
    <col min="24" max="24" width="10.85546875" style="106" bestFit="1" customWidth="1"/>
    <col min="25" max="16384" width="8.7109375" style="106"/>
  </cols>
  <sheetData>
    <row r="2" spans="1:8" ht="26.1" customHeight="1" x14ac:dyDescent="0.4">
      <c r="A2" s="247" t="s">
        <v>0</v>
      </c>
      <c r="B2" s="247"/>
      <c r="C2" s="247"/>
      <c r="D2" s="247"/>
      <c r="E2" s="247"/>
      <c r="F2" s="247"/>
      <c r="G2" s="247"/>
      <c r="H2" s="247"/>
    </row>
    <row r="3" spans="1:8" ht="56.1" customHeight="1" x14ac:dyDescent="0.25">
      <c r="A3" s="248" t="s">
        <v>103</v>
      </c>
      <c r="B3" s="248"/>
      <c r="C3" s="248"/>
      <c r="D3" s="248"/>
      <c r="E3" s="248"/>
      <c r="F3" s="248"/>
      <c r="G3" s="248"/>
      <c r="H3" s="248"/>
    </row>
    <row r="4" spans="1:8" x14ac:dyDescent="0.25">
      <c r="A4" s="252" t="s">
        <v>102</v>
      </c>
      <c r="B4" s="252"/>
      <c r="C4" s="252"/>
      <c r="D4" s="252"/>
      <c r="E4" s="252"/>
      <c r="F4" s="252"/>
      <c r="G4" s="252"/>
      <c r="H4" s="252"/>
    </row>
    <row r="7" spans="1:8" ht="26.1" customHeight="1" x14ac:dyDescent="0.4">
      <c r="A7" s="210" t="s">
        <v>1</v>
      </c>
      <c r="B7" s="210"/>
      <c r="C7" s="210"/>
      <c r="D7" s="210"/>
      <c r="E7" s="210"/>
      <c r="F7" s="210"/>
      <c r="G7" s="210"/>
      <c r="H7" s="210"/>
    </row>
    <row r="8" spans="1:8" ht="5.45" customHeight="1" x14ac:dyDescent="0.4">
      <c r="A8" s="152"/>
      <c r="B8" s="152"/>
      <c r="C8" s="152"/>
      <c r="D8" s="152"/>
      <c r="F8" s="85"/>
      <c r="G8" s="85"/>
    </row>
    <row r="9" spans="1:8" ht="20.100000000000001" customHeight="1" x14ac:dyDescent="0.25">
      <c r="A9" s="249" t="s">
        <v>2</v>
      </c>
      <c r="B9" s="249"/>
      <c r="C9" s="249"/>
      <c r="D9" s="249"/>
      <c r="E9" s="249"/>
    </row>
    <row r="10" spans="1:8" ht="20.100000000000001" customHeight="1" x14ac:dyDescent="0.25">
      <c r="A10" s="250" t="s">
        <v>3</v>
      </c>
      <c r="B10" s="250"/>
      <c r="C10" s="250"/>
      <c r="D10" s="251" t="s">
        <v>5</v>
      </c>
      <c r="E10" s="251"/>
    </row>
    <row r="11" spans="1:8" s="153" customFormat="1" ht="20.100000000000001" customHeight="1" x14ac:dyDescent="0.25">
      <c r="A11" s="253" t="s">
        <v>4</v>
      </c>
      <c r="B11" s="253"/>
      <c r="C11" s="253"/>
      <c r="D11" s="254" t="s">
        <v>5</v>
      </c>
      <c r="E11" s="254"/>
    </row>
    <row r="12" spans="1:8" ht="20.100000000000001" customHeight="1" x14ac:dyDescent="0.25">
      <c r="A12" s="253" t="s">
        <v>6</v>
      </c>
      <c r="B12" s="253"/>
      <c r="C12" s="253"/>
      <c r="D12" s="254" t="s">
        <v>204</v>
      </c>
      <c r="E12" s="254"/>
    </row>
    <row r="13" spans="1:8" ht="61.5" customHeight="1" x14ac:dyDescent="0.25">
      <c r="A13" s="255" t="s">
        <v>7</v>
      </c>
      <c r="B13" s="255"/>
      <c r="C13" s="255"/>
      <c r="D13" s="254" t="s">
        <v>8</v>
      </c>
      <c r="E13" s="254"/>
    </row>
    <row r="14" spans="1:8" ht="56.1" customHeight="1" x14ac:dyDescent="0.25">
      <c r="A14" s="255" t="s">
        <v>9</v>
      </c>
      <c r="B14" s="255"/>
      <c r="C14" s="255"/>
      <c r="D14" s="254" t="s">
        <v>10</v>
      </c>
      <c r="E14" s="254"/>
      <c r="G14" s="105"/>
    </row>
    <row r="15" spans="1:8" ht="60" customHeight="1" x14ac:dyDescent="0.25">
      <c r="A15" s="255" t="s">
        <v>11</v>
      </c>
      <c r="B15" s="255"/>
      <c r="C15" s="255"/>
      <c r="D15" s="263" t="s">
        <v>205</v>
      </c>
      <c r="E15" s="263"/>
    </row>
    <row r="18" spans="1:8" ht="26.25" x14ac:dyDescent="0.4">
      <c r="A18" s="264" t="s">
        <v>12</v>
      </c>
      <c r="B18" s="264"/>
      <c r="C18" s="264"/>
      <c r="D18" s="264"/>
      <c r="E18" s="264"/>
      <c r="F18" s="264"/>
      <c r="G18" s="264"/>
      <c r="H18" s="264"/>
    </row>
    <row r="19" spans="1:8" ht="72" customHeight="1" x14ac:dyDescent="0.25">
      <c r="A19" s="265" t="s">
        <v>104</v>
      </c>
      <c r="B19" s="265"/>
      <c r="C19" s="265"/>
      <c r="D19" s="265"/>
      <c r="E19" s="265"/>
      <c r="F19" s="265"/>
      <c r="G19" s="265"/>
      <c r="H19" s="265"/>
    </row>
    <row r="20" spans="1:8" ht="4.5" customHeight="1" x14ac:dyDescent="0.25"/>
    <row r="21" spans="1:8" s="154" customFormat="1" ht="21" x14ac:dyDescent="0.35">
      <c r="A21" s="268" t="s">
        <v>13</v>
      </c>
      <c r="B21" s="268"/>
      <c r="C21" s="268"/>
      <c r="D21" s="268"/>
      <c r="E21" s="268"/>
      <c r="F21" s="268"/>
      <c r="G21" s="268"/>
      <c r="H21" s="268"/>
    </row>
    <row r="22" spans="1:8" ht="4.5" customHeight="1" x14ac:dyDescent="0.25"/>
    <row r="23" spans="1:8" ht="60" x14ac:dyDescent="0.25">
      <c r="A23" s="126" t="s">
        <v>14</v>
      </c>
      <c r="B23" s="127" t="s">
        <v>15</v>
      </c>
      <c r="C23" s="127" t="s">
        <v>16</v>
      </c>
      <c r="D23" s="127" t="s">
        <v>17</v>
      </c>
      <c r="E23" s="127" t="s">
        <v>105</v>
      </c>
      <c r="F23" s="127" t="s">
        <v>18</v>
      </c>
      <c r="G23" s="127" t="s">
        <v>19</v>
      </c>
      <c r="H23" s="127" t="s">
        <v>20</v>
      </c>
    </row>
    <row r="24" spans="1:8" x14ac:dyDescent="0.25">
      <c r="A24" s="155" t="str">
        <f>IF(ISBLANK('Example Project'!C11), "", (IF('Example Project'!C11 = "Other", 'Example Project'!C12, 'Example Project'!C11)))</f>
        <v>Rapid Rehousing</v>
      </c>
      <c r="B24" s="156" t="str">
        <f>IF(ISBLANK('Example Project'!C10)," ", 'Example Project'!C10)</f>
        <v>Project A</v>
      </c>
      <c r="C24" s="157">
        <f>IF('Example Project'!H36 = 0, " ", 'Example Project'!H36)</f>
        <v>3666.6666666666665</v>
      </c>
      <c r="D24" s="157" t="str">
        <f>IF('Example Project'!H57 = 0, " ", 'Example Project'!H57)</f>
        <v xml:space="preserve"> </v>
      </c>
      <c r="E24" s="157">
        <f>IF('Example Project'!H90 = 0, " ", 'Example Project'!H90)</f>
        <v>16480</v>
      </c>
      <c r="F24" s="157">
        <f>IF('Example Project'!H112 = 0, " ", 'Example Project'!H112)</f>
        <v>19860</v>
      </c>
      <c r="G24" s="157" t="str">
        <f>IF('Example Project'!H126 = 0, " ", 'Example Project'!H126)</f>
        <v xml:space="preserve"> </v>
      </c>
      <c r="H24" s="158">
        <f>IF('Example Project'!G14 = 0, " ", 'Example Project'!G14)</f>
        <v>40006.666666666672</v>
      </c>
    </row>
    <row r="25" spans="1:8" x14ac:dyDescent="0.25">
      <c r="A25" s="155"/>
      <c r="B25" s="156"/>
      <c r="C25" s="157"/>
      <c r="D25" s="157"/>
      <c r="E25" s="157"/>
      <c r="F25" s="157"/>
      <c r="G25" s="157"/>
      <c r="H25" s="158"/>
    </row>
    <row r="26" spans="1:8" x14ac:dyDescent="0.25">
      <c r="A26" s="155" t="str">
        <f>IF(ISBLANK('Project 3'!C11), "", (IF('Project 3'!C11 = "Other", 'Project 3'!C12, 'Project 3'!C11)))</f>
        <v/>
      </c>
      <c r="B26" s="156" t="str">
        <f>IF(ISBLANK('Project 3'!C10)," ", 'Project 3'!C10)</f>
        <v xml:space="preserve"> </v>
      </c>
      <c r="C26" s="157"/>
      <c r="D26" s="157"/>
      <c r="E26" s="157"/>
      <c r="F26" s="157"/>
      <c r="G26" s="157"/>
      <c r="H26" s="158" t="str">
        <f>IF('Project 3'!G13 = 0, " ", 'Project 3'!G13)</f>
        <v xml:space="preserve"> </v>
      </c>
    </row>
    <row r="27" spans="1:8" x14ac:dyDescent="0.25">
      <c r="A27" s="155" t="str">
        <f>IF(ISBLANK('Project 4'!C11), "", (IF('Project 4'!C11 = "Other", 'Project 4'!C12, 'Project 4'!C11)))</f>
        <v/>
      </c>
      <c r="B27" s="156" t="str">
        <f>IF(ISBLANK('Project 4'!C10)," ", 'Project 4'!C10)</f>
        <v xml:space="preserve"> </v>
      </c>
      <c r="C27" s="157"/>
      <c r="D27" s="157"/>
      <c r="E27" s="157"/>
      <c r="F27" s="157"/>
      <c r="G27" s="157"/>
      <c r="H27" s="158" t="str">
        <f>IF('Project 4'!G13 = 0, " ", 'Project 4'!G13)</f>
        <v xml:space="preserve"> </v>
      </c>
    </row>
    <row r="28" spans="1:8" x14ac:dyDescent="0.25">
      <c r="A28" s="155" t="str">
        <f>IF(ISBLANK('Project 5'!C11), "", (IF('Project 5'!C11 = "Other", 'Project 5'!C12, 'Project 5'!C11)))</f>
        <v/>
      </c>
      <c r="B28" s="156" t="str">
        <f>IF(ISBLANK('Project 5'!C10)," ", 'Project 5'!C10)</f>
        <v xml:space="preserve"> </v>
      </c>
      <c r="C28" s="157"/>
      <c r="D28" s="157"/>
      <c r="E28" s="157"/>
      <c r="F28" s="157"/>
      <c r="G28" s="157"/>
      <c r="H28" s="158" t="str">
        <f>IF('Project 5'!G13 = 0, " ", 'Project 5'!G13)</f>
        <v xml:space="preserve"> </v>
      </c>
    </row>
    <row r="29" spans="1:8" x14ac:dyDescent="0.25">
      <c r="A29" s="155" t="str">
        <f>IF(ISBLANK('Project 6'!C11), "", (IF('Project 6'!C11 = "Other", 'Project 6'!C12, 'Project 6'!C11)))</f>
        <v/>
      </c>
      <c r="B29" s="156" t="str">
        <f>IF(ISBLANK('Project 6'!C10)," ", 'Project 6'!C10)</f>
        <v xml:space="preserve"> </v>
      </c>
      <c r="C29" s="157"/>
      <c r="D29" s="157"/>
      <c r="E29" s="157"/>
      <c r="F29" s="157"/>
      <c r="G29" s="157"/>
      <c r="H29" s="158" t="str">
        <f>IF('Project 6'!G13 = 0, " ", 'Project 6'!G13)</f>
        <v xml:space="preserve"> </v>
      </c>
    </row>
    <row r="30" spans="1:8" x14ac:dyDescent="0.25">
      <c r="A30" s="155" t="str">
        <f>IF(ISBLANK('Project 7'!C8), "", (IF('Project 7'!C11 = "Other", 'Project 7'!C12, 'Project 7'!C11)))</f>
        <v/>
      </c>
      <c r="B30" s="156" t="str">
        <f>IF(ISBLANK('Project 7'!C10)," ", 'Project 7'!C10)</f>
        <v xml:space="preserve"> </v>
      </c>
      <c r="C30" s="157"/>
      <c r="D30" s="157"/>
      <c r="E30" s="157"/>
      <c r="F30" s="157"/>
      <c r="G30" s="157"/>
      <c r="H30" s="158" t="str">
        <f>IF('Project 7'!G13 = 0, " ", 'Project 7'!G13)</f>
        <v xml:space="preserve"> </v>
      </c>
    </row>
    <row r="31" spans="1:8" x14ac:dyDescent="0.25">
      <c r="A31" s="155" t="str">
        <f>IF(ISBLANK('Project 8'!C11), "", (IF('Project 8'!C11 = "Other", 'Project 8'!C12, 'Project 8'!C11)))</f>
        <v/>
      </c>
      <c r="B31" s="156" t="str">
        <f>IF(ISBLANK('Project 8'!C10)," ", 'Project 8'!C10)</f>
        <v xml:space="preserve"> </v>
      </c>
      <c r="C31" s="157"/>
      <c r="D31" s="157"/>
      <c r="E31" s="157"/>
      <c r="F31" s="157"/>
      <c r="G31" s="157"/>
      <c r="H31" s="158" t="str">
        <f>IF('Project 8'!G13 = 0, " ", 'Project 8'!G13)</f>
        <v xml:space="preserve"> </v>
      </c>
    </row>
    <row r="32" spans="1:8" x14ac:dyDescent="0.25">
      <c r="A32" s="155" t="str">
        <f>IF(ISBLANK('Project 9'!C11), "", (IF('Project 9'!C11 = "Other", 'Project 9'!C12, 'Project 9'!C11)))</f>
        <v/>
      </c>
      <c r="B32" s="156" t="str">
        <f>IF(ISBLANK('Project 9'!C10)," ", 'Project 9'!C10)</f>
        <v xml:space="preserve"> </v>
      </c>
      <c r="C32" s="157"/>
      <c r="D32" s="157"/>
      <c r="E32" s="157"/>
      <c r="F32" s="157"/>
      <c r="G32" s="157"/>
      <c r="H32" s="158" t="str">
        <f>IF('Project 9'!G13 = 0, " ", 'Project 9'!G13)</f>
        <v xml:space="preserve"> </v>
      </c>
    </row>
    <row r="33" spans="1:8" x14ac:dyDescent="0.25">
      <c r="A33" s="155" t="str">
        <f>IF(ISBLANK('Project 10'!C11), "", (IF('Project 10'!C11 = "Other", 'Project 10'!C12, 'Project 10'!C11)))</f>
        <v/>
      </c>
      <c r="B33" s="156" t="str">
        <f>IF(ISBLANK('Project 10'!C10)," ", 'Project 10'!C10)</f>
        <v xml:space="preserve"> </v>
      </c>
      <c r="C33" s="157"/>
      <c r="D33" s="157"/>
      <c r="E33" s="157"/>
      <c r="F33" s="157"/>
      <c r="G33" s="157"/>
      <c r="H33" s="158" t="str">
        <f>IF('Project 10'!G13 = 0, " ", 'Project 10'!G13)</f>
        <v xml:space="preserve"> </v>
      </c>
    </row>
    <row r="34" spans="1:8" ht="15.75" thickBot="1" x14ac:dyDescent="0.3">
      <c r="A34" s="159" t="s">
        <v>21</v>
      </c>
      <c r="B34" s="160"/>
      <c r="C34" s="161">
        <f>SUBTOTAL(101,Table6233940107109121[Annual Administrative Cost Per Unit])</f>
        <v>3666.6666666666665</v>
      </c>
      <c r="D34" s="161" t="e">
        <f>SUBTOTAL(101,Table6233940107109121[Annual Operations Cost Per Unit])</f>
        <v>#DIV/0!</v>
      </c>
      <c r="E34" s="161">
        <f>SUBTOTAL(101,Table6233940107109121[Annual Rental Assistance or Leasing Cost Per Unit])</f>
        <v>16480</v>
      </c>
      <c r="F34" s="161">
        <f>SUBTOTAL(101,Table6233940107109121[Annual Services Cost Per Unit])</f>
        <v>19860</v>
      </c>
      <c r="G34" s="161" t="e">
        <f>SUBTOTAL(101,Table6233940107109121[Annual Other Costs Per Unit])</f>
        <v>#DIV/0!</v>
      </c>
      <c r="H34" s="180">
        <f>SUBTOTAL(101,Table6233940107109121[Annual Cost Per Unit])</f>
        <v>40006.666666666672</v>
      </c>
    </row>
    <row r="35" spans="1:8" ht="15.75" thickTop="1" x14ac:dyDescent="0.25">
      <c r="A35" s="163"/>
      <c r="B35" s="164"/>
      <c r="C35" s="165"/>
      <c r="D35" s="165"/>
      <c r="E35" s="165"/>
      <c r="F35" s="165"/>
      <c r="G35" s="165"/>
      <c r="H35" s="166"/>
    </row>
    <row r="36" spans="1:8" ht="32.450000000000003" customHeight="1" x14ac:dyDescent="0.25">
      <c r="A36" s="266" t="s">
        <v>22</v>
      </c>
      <c r="B36" s="266"/>
      <c r="C36" s="266"/>
      <c r="D36" s="266"/>
      <c r="E36" s="266"/>
      <c r="F36" s="266"/>
      <c r="G36" s="266"/>
      <c r="H36" s="266"/>
    </row>
    <row r="37" spans="1:8" ht="4.5" customHeight="1" x14ac:dyDescent="0.25">
      <c r="A37" s="163"/>
      <c r="B37" s="164"/>
      <c r="C37" s="165"/>
      <c r="D37" s="165"/>
      <c r="E37" s="165"/>
      <c r="F37" s="165"/>
      <c r="G37" s="165"/>
      <c r="H37" s="166"/>
    </row>
    <row r="38" spans="1:8" s="154" customFormat="1" ht="21" x14ac:dyDescent="0.35">
      <c r="A38" s="268" t="s">
        <v>23</v>
      </c>
      <c r="B38" s="268"/>
      <c r="C38" s="268"/>
      <c r="D38" s="268"/>
      <c r="E38" s="268"/>
      <c r="F38" s="268"/>
      <c r="G38" s="268"/>
      <c r="H38" s="268"/>
    </row>
    <row r="39" spans="1:8" ht="4.5" customHeight="1" x14ac:dyDescent="0.25">
      <c r="A39" s="163"/>
      <c r="B39" s="164"/>
      <c r="C39" s="165"/>
      <c r="D39" s="165"/>
      <c r="E39" s="165"/>
      <c r="F39" s="165"/>
      <c r="G39" s="165"/>
      <c r="H39" s="166"/>
    </row>
    <row r="40" spans="1:8" ht="30" x14ac:dyDescent="0.25">
      <c r="A40" s="126" t="s">
        <v>14</v>
      </c>
      <c r="B40" s="127" t="s">
        <v>15</v>
      </c>
      <c r="C40" s="127" t="s">
        <v>20</v>
      </c>
    </row>
    <row r="41" spans="1:8" x14ac:dyDescent="0.25">
      <c r="A41" s="167" t="s">
        <v>5</v>
      </c>
      <c r="B41" s="167" t="s">
        <v>24</v>
      </c>
      <c r="C41" s="168">
        <v>25000</v>
      </c>
    </row>
    <row r="42" spans="1:8" x14ac:dyDescent="0.25">
      <c r="A42" s="167" t="s">
        <v>5</v>
      </c>
      <c r="B42" s="167" t="s">
        <v>25</v>
      </c>
      <c r="C42" s="168">
        <v>35000</v>
      </c>
    </row>
    <row r="43" spans="1:8" x14ac:dyDescent="0.25">
      <c r="A43" s="167"/>
      <c r="B43" s="167"/>
      <c r="C43" s="168"/>
    </row>
    <row r="44" spans="1:8" x14ac:dyDescent="0.25">
      <c r="A44" s="167"/>
      <c r="B44" s="167"/>
      <c r="C44" s="168"/>
    </row>
    <row r="45" spans="1:8" x14ac:dyDescent="0.25">
      <c r="A45" s="167"/>
      <c r="B45" s="167"/>
      <c r="C45" s="168"/>
    </row>
    <row r="46" spans="1:8" x14ac:dyDescent="0.25">
      <c r="A46" s="169" t="s">
        <v>21</v>
      </c>
      <c r="B46" s="170"/>
      <c r="C46" s="171">
        <f>SUBTOTAL(101,C41:C45)</f>
        <v>30000</v>
      </c>
    </row>
    <row r="47" spans="1:8" ht="15.75" thickBot="1" x14ac:dyDescent="0.3">
      <c r="A47" s="267" t="s">
        <v>26</v>
      </c>
      <c r="B47" s="267"/>
      <c r="C47" s="179">
        <f>IFERROR((SUM(H24:H33)+SUM(C41:C45))/(COUNT(H24:H33)+COUNT(C41:C45)),"")</f>
        <v>33335.555555555555</v>
      </c>
    </row>
    <row r="48" spans="1:8" ht="15.75" thickTop="1" x14ac:dyDescent="0.25"/>
    <row r="49" spans="1:8" ht="21" x14ac:dyDescent="0.35">
      <c r="A49" s="268" t="s">
        <v>27</v>
      </c>
      <c r="B49" s="268"/>
      <c r="C49" s="268"/>
      <c r="D49" s="268"/>
      <c r="E49" s="268"/>
      <c r="F49" s="268"/>
      <c r="G49" s="268"/>
      <c r="H49" s="268"/>
    </row>
    <row r="50" spans="1:8" ht="6.95" customHeight="1" x14ac:dyDescent="0.25"/>
    <row r="51" spans="1:8" ht="75" x14ac:dyDescent="0.25">
      <c r="A51" s="173" t="s">
        <v>0</v>
      </c>
      <c r="B51" s="174" t="s">
        <v>28</v>
      </c>
      <c r="C51" s="174" t="s">
        <v>29</v>
      </c>
      <c r="D51" s="174" t="s">
        <v>30</v>
      </c>
      <c r="E51" s="174" t="s">
        <v>106</v>
      </c>
      <c r="F51" s="174" t="s">
        <v>31</v>
      </c>
      <c r="G51" s="174" t="s">
        <v>32</v>
      </c>
      <c r="H51" s="175" t="s">
        <v>33</v>
      </c>
    </row>
    <row r="52" spans="1:8" x14ac:dyDescent="0.25">
      <c r="A52" s="176" t="str">
        <f>IF(ISBLANK(D10), "", D10)</f>
        <v>Rapid Rehousing</v>
      </c>
      <c r="B52" s="177"/>
      <c r="C52" s="178">
        <v>4000</v>
      </c>
      <c r="D52" s="178">
        <v>0</v>
      </c>
      <c r="E52" s="178">
        <v>16000</v>
      </c>
      <c r="F52" s="178">
        <v>20000</v>
      </c>
      <c r="G52" s="178">
        <v>0</v>
      </c>
      <c r="H52" s="158">
        <f>SUM(Table623394046108110122[[#This Row],[Average Annual Administrative Cost Per Unit]:[Average Annual Other Costs Per Unit]])</f>
        <v>40000</v>
      </c>
    </row>
    <row r="54" spans="1:8" x14ac:dyDescent="0.25">
      <c r="A54" s="256" t="s">
        <v>34</v>
      </c>
      <c r="B54" s="256"/>
      <c r="C54" s="256"/>
      <c r="D54" s="256"/>
      <c r="E54" s="256"/>
      <c r="F54" s="256"/>
      <c r="G54" s="256"/>
      <c r="H54" s="256"/>
    </row>
    <row r="55" spans="1:8" x14ac:dyDescent="0.25">
      <c r="A55" s="257" t="s">
        <v>230</v>
      </c>
      <c r="B55" s="258"/>
      <c r="C55" s="258"/>
      <c r="D55" s="258"/>
      <c r="E55" s="258"/>
      <c r="F55" s="258"/>
      <c r="G55" s="258"/>
      <c r="H55" s="259"/>
    </row>
    <row r="56" spans="1:8" x14ac:dyDescent="0.25">
      <c r="A56" s="257"/>
      <c r="B56" s="258"/>
      <c r="C56" s="258"/>
      <c r="D56" s="258"/>
      <c r="E56" s="258"/>
      <c r="F56" s="258"/>
      <c r="G56" s="258"/>
      <c r="H56" s="259"/>
    </row>
    <row r="57" spans="1:8" x14ac:dyDescent="0.25">
      <c r="A57" s="257"/>
      <c r="B57" s="258"/>
      <c r="C57" s="258"/>
      <c r="D57" s="258"/>
      <c r="E57" s="258"/>
      <c r="F57" s="258"/>
      <c r="G57" s="258"/>
      <c r="H57" s="259"/>
    </row>
    <row r="58" spans="1:8" x14ac:dyDescent="0.25">
      <c r="A58" s="257"/>
      <c r="B58" s="258"/>
      <c r="C58" s="258"/>
      <c r="D58" s="258"/>
      <c r="E58" s="258"/>
      <c r="F58" s="258"/>
      <c r="G58" s="258"/>
      <c r="H58" s="259"/>
    </row>
    <row r="59" spans="1:8" x14ac:dyDescent="0.25">
      <c r="A59" s="260"/>
      <c r="B59" s="261"/>
      <c r="C59" s="261"/>
      <c r="D59" s="261"/>
      <c r="E59" s="261"/>
      <c r="F59" s="261"/>
      <c r="G59" s="261"/>
      <c r="H59" s="262"/>
    </row>
    <row r="60" spans="1:8" x14ac:dyDescent="0.25">
      <c r="A60" s="240"/>
      <c r="B60" s="240"/>
      <c r="C60" s="240"/>
      <c r="D60" s="240"/>
      <c r="E60" s="240"/>
      <c r="F60" s="240"/>
      <c r="G60" s="240"/>
      <c r="H60" s="240"/>
    </row>
    <row r="61" spans="1:8" x14ac:dyDescent="0.25">
      <c r="A61" s="240"/>
      <c r="B61" s="240"/>
      <c r="C61" s="240"/>
      <c r="D61" s="240"/>
      <c r="E61" s="240"/>
      <c r="F61" s="240"/>
      <c r="G61" s="240"/>
      <c r="H61" s="240"/>
    </row>
  </sheetData>
  <sheetProtection sheet="1" formatCells="0" formatColumns="0" formatRows="0"/>
  <dataConsolidate topLabels="1" link="1"/>
  <mergeCells count="28">
    <mergeCell ref="A54:H54"/>
    <mergeCell ref="A55:H59"/>
    <mergeCell ref="A60:H60"/>
    <mergeCell ref="A61:H61"/>
    <mergeCell ref="D14:E14"/>
    <mergeCell ref="D15:E15"/>
    <mergeCell ref="A18:H18"/>
    <mergeCell ref="A19:H19"/>
    <mergeCell ref="A36:H36"/>
    <mergeCell ref="A47:B47"/>
    <mergeCell ref="A14:C14"/>
    <mergeCell ref="A15:C15"/>
    <mergeCell ref="A49:H49"/>
    <mergeCell ref="A21:H21"/>
    <mergeCell ref="A38:H38"/>
    <mergeCell ref="A11:C11"/>
    <mergeCell ref="D11:E11"/>
    <mergeCell ref="A12:C12"/>
    <mergeCell ref="D12:E12"/>
    <mergeCell ref="A13:C13"/>
    <mergeCell ref="D13:E13"/>
    <mergeCell ref="A2:H2"/>
    <mergeCell ref="A3:H3"/>
    <mergeCell ref="A7:H7"/>
    <mergeCell ref="A9:E9"/>
    <mergeCell ref="A10:C10"/>
    <mergeCell ref="D10:E10"/>
    <mergeCell ref="A4:H4"/>
  </mergeCells>
  <hyperlinks>
    <hyperlink ref="A4:H4" r:id="rId1" display="To start, fill in the Model Project Type Information table using the information on the Project Type Matrix as completed by the system modeling workgroup. " xr:uid="{716AEEA4-350C-4B27-9962-40B16623C724}"/>
  </hyperlinks>
  <pageMargins left="0.7" right="0.7" top="0.75" bottom="0.75" header="0.3" footer="0.3"/>
  <pageSetup orientation="portrait" horizontalDpi="90" verticalDpi="90" r:id="rId2"/>
  <ignoredErrors>
    <ignoredError sqref="B26:B33 B24 H26:H33" calculatedColumn="1"/>
  </ignoredErrors>
  <tableParts count="3">
    <tablePart r:id="rId3"/>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3B81A-7A71-43BD-BDA0-4B53207B2395}">
  <dimension ref="A2:I134"/>
  <sheetViews>
    <sheetView showGridLines="0" zoomScaleNormal="100" workbookViewId="0">
      <selection activeCell="H12" sqref="H12"/>
    </sheetView>
  </sheetViews>
  <sheetFormatPr defaultRowHeight="15" outlineLevelRow="1" x14ac:dyDescent="0.25"/>
  <cols>
    <col min="1" max="1" width="27.140625" style="3" customWidth="1"/>
    <col min="2" max="2" width="21.140625" customWidth="1"/>
    <col min="3" max="3" width="18.5703125" customWidth="1"/>
    <col min="4" max="5" width="14.42578125" customWidth="1"/>
    <col min="6" max="6" width="28.7109375" style="2" customWidth="1"/>
    <col min="7" max="7" width="13.5703125" style="2" customWidth="1"/>
    <col min="8" max="8" width="13.140625" customWidth="1"/>
    <col min="9" max="9" width="10.5703125" customWidth="1"/>
    <col min="10" max="10" width="10.42578125" customWidth="1"/>
    <col min="11" max="11" width="22.5703125" customWidth="1"/>
    <col min="12" max="12" width="14.85546875" customWidth="1"/>
  </cols>
  <sheetData>
    <row r="2" spans="1:8" ht="26.25" x14ac:dyDescent="0.4">
      <c r="A2" s="288" t="str">
        <f>CONCATENATE("Comparable Projects for ", 'Example Model Project Type'!D10, " Cost Assumptions")</f>
        <v>Comparable Projects for Rapid Rehousing Cost Assumptions</v>
      </c>
      <c r="B2" s="288"/>
      <c r="C2" s="288"/>
      <c r="D2" s="288"/>
      <c r="E2" s="288"/>
      <c r="F2" s="288"/>
      <c r="G2" s="288"/>
      <c r="H2" s="288"/>
    </row>
    <row r="3" spans="1:8" ht="19.5" customHeight="1" x14ac:dyDescent="0.25"/>
    <row r="4" spans="1:8" ht="26.1" customHeight="1" x14ac:dyDescent="0.4">
      <c r="A4" s="273" t="s">
        <v>1</v>
      </c>
      <c r="B4" s="273"/>
      <c r="C4" s="273"/>
      <c r="D4" s="273"/>
    </row>
    <row r="5" spans="1:8" ht="30.95" customHeight="1" x14ac:dyDescent="0.25">
      <c r="A5" s="292" t="s">
        <v>109</v>
      </c>
      <c r="B5" s="292"/>
      <c r="C5" s="293" t="str">
        <f>IF('Example Model Project Type'!D10 = 0, " ", 'Example Model Project Type'!D10)</f>
        <v>Rapid Rehousing</v>
      </c>
      <c r="D5" s="293"/>
    </row>
    <row r="6" spans="1:8" ht="20.100000000000001" customHeight="1" x14ac:dyDescent="0.25">
      <c r="A6"/>
      <c r="F6"/>
      <c r="G6"/>
    </row>
    <row r="7" spans="1:8" ht="26.1" customHeight="1" x14ac:dyDescent="0.4">
      <c r="A7" s="273" t="s">
        <v>35</v>
      </c>
      <c r="B7" s="273"/>
      <c r="C7" s="273"/>
      <c r="D7" s="273"/>
    </row>
    <row r="8" spans="1:8" ht="5.45" customHeight="1" x14ac:dyDescent="0.4">
      <c r="A8" s="36"/>
      <c r="B8" s="36"/>
      <c r="C8" s="36"/>
      <c r="D8" s="36"/>
      <c r="F8" s="12"/>
      <c r="G8" s="12"/>
    </row>
    <row r="9" spans="1:8" ht="20.100000000000001" customHeight="1" x14ac:dyDescent="0.25">
      <c r="A9" s="289" t="s">
        <v>36</v>
      </c>
      <c r="B9" s="289"/>
      <c r="C9" s="289"/>
      <c r="D9" s="289"/>
      <c r="F9" s="181" t="s">
        <v>37</v>
      </c>
      <c r="G9" s="181"/>
    </row>
    <row r="10" spans="1:8" ht="33" customHeight="1" x14ac:dyDescent="0.25">
      <c r="A10" s="290" t="s">
        <v>38</v>
      </c>
      <c r="B10" s="290"/>
      <c r="C10" s="291" t="s">
        <v>229</v>
      </c>
      <c r="D10" s="291"/>
      <c r="F10" s="41" t="s">
        <v>68</v>
      </c>
      <c r="G10" s="48">
        <f>H129</f>
        <v>320</v>
      </c>
    </row>
    <row r="11" spans="1:8" ht="19.7" customHeight="1" x14ac:dyDescent="0.25">
      <c r="A11" s="286" t="s">
        <v>39</v>
      </c>
      <c r="B11" s="286"/>
      <c r="C11" s="285" t="s">
        <v>5</v>
      </c>
      <c r="D11" s="285"/>
      <c r="F11" s="41" t="s">
        <v>63</v>
      </c>
      <c r="G11" s="48">
        <f>H130</f>
        <v>16320</v>
      </c>
    </row>
    <row r="12" spans="1:8" ht="19.7" customHeight="1" x14ac:dyDescent="0.25">
      <c r="A12" s="287" t="s">
        <v>40</v>
      </c>
      <c r="B12" s="287"/>
      <c r="C12" s="276"/>
      <c r="D12" s="276"/>
      <c r="F12" s="41" t="s">
        <v>58</v>
      </c>
      <c r="G12" s="48">
        <f>H131</f>
        <v>19700</v>
      </c>
    </row>
    <row r="13" spans="1:8" ht="19.7" customHeight="1" thickBot="1" x14ac:dyDescent="0.3">
      <c r="A13" s="286" t="s">
        <v>41</v>
      </c>
      <c r="B13" s="286"/>
      <c r="C13" s="276"/>
      <c r="D13" s="276"/>
      <c r="F13" s="42" t="s">
        <v>206</v>
      </c>
      <c r="G13" s="50">
        <f>H132</f>
        <v>3666.6666666666665</v>
      </c>
    </row>
    <row r="14" spans="1:8" ht="19.7" customHeight="1" thickTop="1" thickBot="1" x14ac:dyDescent="0.3">
      <c r="A14" s="7"/>
      <c r="B14" s="40"/>
      <c r="C14" s="35"/>
      <c r="D14" s="34"/>
      <c r="F14" s="18" t="s">
        <v>42</v>
      </c>
      <c r="G14" s="50">
        <f>H133</f>
        <v>40006.666666666672</v>
      </c>
    </row>
    <row r="15" spans="1:8" ht="19.7" customHeight="1" thickTop="1" x14ac:dyDescent="0.25">
      <c r="A15" s="280" t="s">
        <v>43</v>
      </c>
      <c r="B15" s="280"/>
      <c r="C15" s="280"/>
      <c r="D15" s="280"/>
    </row>
    <row r="16" spans="1:8" ht="44.45" customHeight="1" x14ac:dyDescent="0.25">
      <c r="A16" s="281" t="s">
        <v>44</v>
      </c>
      <c r="B16" s="282"/>
      <c r="C16" s="282"/>
      <c r="D16" s="282"/>
    </row>
    <row r="17" spans="1:9" ht="18.600000000000001" customHeight="1" x14ac:dyDescent="0.25">
      <c r="A17" s="283" t="s">
        <v>45</v>
      </c>
      <c r="B17" s="283"/>
      <c r="C17" s="284">
        <v>30</v>
      </c>
      <c r="D17" s="284"/>
    </row>
    <row r="18" spans="1:9" ht="44.45" customHeight="1" x14ac:dyDescent="0.25">
      <c r="A18" s="275" t="s">
        <v>46</v>
      </c>
      <c r="B18" s="275"/>
      <c r="C18" s="285">
        <v>3</v>
      </c>
      <c r="D18" s="285"/>
    </row>
    <row r="19" spans="1:9" ht="44.45" customHeight="1" x14ac:dyDescent="0.25">
      <c r="A19" s="275" t="s">
        <v>47</v>
      </c>
      <c r="B19" s="275"/>
      <c r="C19" s="276">
        <v>12</v>
      </c>
      <c r="D19" s="276"/>
    </row>
    <row r="20" spans="1:9" ht="14.1" customHeight="1" x14ac:dyDescent="0.25">
      <c r="A20" s="33"/>
      <c r="B20" s="33"/>
      <c r="C20" s="39"/>
      <c r="D20" s="35"/>
    </row>
    <row r="21" spans="1:9" ht="17.45" customHeight="1" x14ac:dyDescent="0.25">
      <c r="A21" s="4"/>
      <c r="B21" s="4"/>
      <c r="C21" s="35"/>
      <c r="D21" s="35"/>
    </row>
    <row r="22" spans="1:9" ht="21" customHeight="1" x14ac:dyDescent="0.4">
      <c r="A22" s="277" t="s">
        <v>48</v>
      </c>
      <c r="B22" s="277"/>
      <c r="C22" s="277"/>
      <c r="D22" s="277"/>
      <c r="E22" s="277"/>
      <c r="F22" s="277"/>
      <c r="G22" s="277"/>
      <c r="H22" s="277"/>
    </row>
    <row r="23" spans="1:9" ht="6.6" customHeight="1" x14ac:dyDescent="0.25">
      <c r="A23" s="32"/>
      <c r="B23" s="30"/>
      <c r="C23" s="30"/>
      <c r="D23" s="30"/>
      <c r="F23" s="12"/>
      <c r="G23" s="12"/>
    </row>
    <row r="24" spans="1:9" x14ac:dyDescent="0.25">
      <c r="A24" s="274" t="s">
        <v>49</v>
      </c>
      <c r="B24" s="274"/>
      <c r="C24" s="274"/>
      <c r="D24" s="274"/>
      <c r="E24" s="274"/>
      <c r="F24" s="274"/>
      <c r="G24" s="274"/>
      <c r="H24" s="274"/>
    </row>
    <row r="25" spans="1:9" ht="30.75" customHeight="1" outlineLevel="1" x14ac:dyDescent="0.25">
      <c r="A25" s="294" t="s">
        <v>190</v>
      </c>
      <c r="B25" s="294"/>
      <c r="C25" s="294"/>
      <c r="D25" s="294"/>
      <c r="E25" s="294"/>
      <c r="F25" s="294"/>
      <c r="G25" s="294"/>
      <c r="H25" s="294"/>
    </row>
    <row r="26" spans="1:9" s="3" customFormat="1" ht="28.35" customHeight="1" x14ac:dyDescent="0.25">
      <c r="A26" s="13" t="s">
        <v>51</v>
      </c>
      <c r="B26" s="13" t="s">
        <v>52</v>
      </c>
      <c r="C26" s="13" t="s">
        <v>53</v>
      </c>
      <c r="D26" s="13" t="s">
        <v>54</v>
      </c>
      <c r="E26" s="13" t="s">
        <v>55</v>
      </c>
      <c r="F26" s="13" t="s">
        <v>56</v>
      </c>
      <c r="G26" s="13" t="s">
        <v>57</v>
      </c>
      <c r="H26" s="45" t="s">
        <v>20</v>
      </c>
    </row>
    <row r="27" spans="1:9" x14ac:dyDescent="0.25">
      <c r="A27" s="57" t="s">
        <v>200</v>
      </c>
      <c r="B27" s="57" t="s">
        <v>201</v>
      </c>
      <c r="C27" s="58" t="s">
        <v>206</v>
      </c>
      <c r="D27" s="59">
        <v>100000</v>
      </c>
      <c r="E27" s="60" t="s">
        <v>59</v>
      </c>
      <c r="F27" s="60" t="s">
        <v>60</v>
      </c>
      <c r="G27" s="53" cm="1">
        <f t="array" ref="G27">_xlfn.IFS(Administrative17[[#This Row],[Unit]]="Program-wide",((_xlfn.IFS(Administrative17[[#This Row],[Frequency]]="Per Year",Administrative17[[#This Row],[Cost]]/12,Administrative17[[#This Row],[Frequency]]="Per month",Administrative17[[#This Row],[Cost]],Administrative17[[#This Row],[Frequency]]="Per day",Administrative17[[#This Row],[Cost]]*30,Administrative17[[#This Row],[Frequency]]="One-time",Administrative17[[#This Row],[Cost]]/SUM(C18,C19)))/$C$17),Administrative17[[#This Row],[Unit]]="Per unit/space/household",(_xlfn.IFS(Administrative17[[#This Row],[Frequency]]="Per Year",Administrative17[[#This Row],[Cost]]/12,Administrative17[[#This Row],[Frequency]]="Per month",Administrative17[[#This Row],[Cost]],Administrative17[[#This Row],[Frequency]]="Per day",Administrative17[[#This Row],[Cost]]*30,Administrative17[[#This Row],[Frequency]]="One-time",Administrative17[[#This Row],[Cost]]/SUM($C$18,$C$19))))</f>
        <v>277.77777777777777</v>
      </c>
      <c r="H27" s="46">
        <f>Administrative17[[#This Row],[Monthly Cost Per Unit]]*12</f>
        <v>3333.333333333333</v>
      </c>
    </row>
    <row r="28" spans="1:9" x14ac:dyDescent="0.25">
      <c r="A28" s="57" t="s">
        <v>199</v>
      </c>
      <c r="B28" s="57"/>
      <c r="C28" s="58" t="s">
        <v>206</v>
      </c>
      <c r="D28" s="59">
        <v>10000</v>
      </c>
      <c r="E28" s="60" t="s">
        <v>59</v>
      </c>
      <c r="F28" s="60" t="s">
        <v>60</v>
      </c>
      <c r="G28" s="53" cm="1">
        <f t="array" ref="G28">_xlfn.IFS(Administrative17[[#This Row],[Unit]]="Program-wide",((_xlfn.IFS(Administrative17[[#This Row],[Frequency]]="Per Year",Administrative17[[#This Row],[Cost]]/12,Administrative17[[#This Row],[Frequency]]="Per month",Administrative17[[#This Row],[Cost]],Administrative17[[#This Row],[Frequency]]="Per day",Administrative17[[#This Row],[Cost]]*30,Administrative17[[#This Row],[Frequency]]="One-time",Administrative17[[#This Row],[Cost]]/SUM(C18,C19)))/$C$17),Administrative17[[#This Row],[Unit]]="Per unit/space/household",(_xlfn.IFS(Administrative17[[#This Row],[Frequency]]="Per Year",Administrative17[[#This Row],[Cost]]/12,Administrative17[[#This Row],[Frequency]]="Per month",Administrative17[[#This Row],[Cost]],Administrative17[[#This Row],[Frequency]]="Per day",Administrative17[[#This Row],[Cost]]*30,Administrative17[[#This Row],[Frequency]]="One-time",Administrative17[[#This Row],[Cost]]/SUM($C$18,$C$19))))</f>
        <v>27.777777777777779</v>
      </c>
      <c r="H28" s="46">
        <f>Administrative17[[#This Row],[Monthly Cost Per Unit]]*12</f>
        <v>333.33333333333337</v>
      </c>
    </row>
    <row r="29" spans="1:9" x14ac:dyDescent="0.25">
      <c r="A29" s="57"/>
      <c r="B29" s="57"/>
      <c r="C29" s="58"/>
      <c r="D29" s="59"/>
      <c r="E29" s="60"/>
      <c r="F29" s="60"/>
      <c r="G29" s="53" t="e" cm="1">
        <f t="array" ref="G29">_xlfn.IFS(Administrative17[[#This Row],[Unit]]="Program-wide",((_xlfn.IFS(Administrative17[[#This Row],[Frequency]]="Per Year",Administrative17[[#This Row],[Cost]]/12,Administrative17[[#This Row],[Frequency]]="Per month",Administrative17[[#This Row],[Cost]],Administrative17[[#This Row],[Frequency]]="Per day",Administrative17[[#This Row],[Cost]]*30,Administrative17[[#This Row],[Frequency]]="One-time",Administrative17[[#This Row],[Cost]]/SUM(C18,C19)))/$C$17),Administrative17[[#This Row],[Unit]]="Per unit/space/household",(_xlfn.IFS(Administrative17[[#This Row],[Frequency]]="Per Year",Administrative17[[#This Row],[Cost]]/12,Administrative17[[#This Row],[Frequency]]="Per month",Administrative17[[#This Row],[Cost]],Administrative17[[#This Row],[Frequency]]="Per day",Administrative17[[#This Row],[Cost]]*30,Administrative17[[#This Row],[Frequency]]="One-time",Administrative17[[#This Row],[Cost]]/SUM($C$18,$C$19))))</f>
        <v>#N/A</v>
      </c>
      <c r="H29" s="46" t="e">
        <f>Administrative17[[#This Row],[Monthly Cost Per Unit]]*12</f>
        <v>#N/A</v>
      </c>
    </row>
    <row r="30" spans="1:9" x14ac:dyDescent="0.25">
      <c r="A30" s="57"/>
      <c r="B30" s="57"/>
      <c r="C30" s="58"/>
      <c r="D30" s="59"/>
      <c r="E30" s="60"/>
      <c r="F30" s="60"/>
      <c r="G30" s="53" t="e" cm="1">
        <f t="array" ref="G30">_xlfn.IFS(Administrative17[[#This Row],[Unit]]="Program-wide",((_xlfn.IFS(Administrative17[[#This Row],[Frequency]]="Per Year",Administrative17[[#This Row],[Cost]]/12,Administrative17[[#This Row],[Frequency]]="Per month",Administrative17[[#This Row],[Cost]],Administrative17[[#This Row],[Frequency]]="Per day",Administrative17[[#This Row],[Cost]]*30,Administrative17[[#This Row],[Frequency]]="One-time",Administrative17[[#This Row],[Cost]]/SUM(C18,C19)))/$C$17),Administrative17[[#This Row],[Unit]]="Per unit/space/household",(_xlfn.IFS(Administrative17[[#This Row],[Frequency]]="Per Year",Administrative17[[#This Row],[Cost]]/12,Administrative17[[#This Row],[Frequency]]="Per month",Administrative17[[#This Row],[Cost]],Administrative17[[#This Row],[Frequency]]="Per day",Administrative17[[#This Row],[Cost]]*30,Administrative17[[#This Row],[Frequency]]="One-time",Administrative17[[#This Row],[Cost]]/SUM($C$18,$C$19))))</f>
        <v>#N/A</v>
      </c>
      <c r="H30" s="46" t="e">
        <f>Administrative17[[#This Row],[Monthly Cost Per Unit]]*12</f>
        <v>#N/A</v>
      </c>
    </row>
    <row r="31" spans="1:9" s="1" customFormat="1" x14ac:dyDescent="0.25">
      <c r="A31" s="62"/>
      <c r="B31" s="62"/>
      <c r="C31" s="63"/>
      <c r="D31" s="64"/>
      <c r="E31" s="65"/>
      <c r="F31" s="65"/>
      <c r="G31" s="54" t="e" cm="1">
        <f t="array" ref="G31">_xlfn.IFS(Administrative17[[#This Row],[Unit]]="Program-wide",((_xlfn.IFS(Administrative17[[#This Row],[Frequency]]="Per Year",Administrative17[[#This Row],[Cost]]/12,Administrative17[[#This Row],[Frequency]]="Per month",Administrative17[[#This Row],[Cost]],Administrative17[[#This Row],[Frequency]]="Per day",Administrative17[[#This Row],[Cost]]*30,Administrative17[[#This Row],[Frequency]]="One-time",Administrative17[[#This Row],[Cost]]/SUM(C18,C19)))/$C$17),Administrative17[[#This Row],[Unit]]="Per unit/space/household",(_xlfn.IFS(Administrative17[[#This Row],[Frequency]]="Per Year",Administrative17[[#This Row],[Cost]]/12,Administrative17[[#This Row],[Frequency]]="Per month",Administrative17[[#This Row],[Cost]],Administrative17[[#This Row],[Frequency]]="Per day",Administrative17[[#This Row],[Cost]]*30,Administrative17[[#This Row],[Frequency]]="One-time",Administrative17[[#This Row],[Cost]]/SUM($C$18,$C$19))))</f>
        <v>#N/A</v>
      </c>
      <c r="H31" s="46" t="e">
        <f>Administrative17[[#This Row],[Monthly Cost Per Unit]]*12</f>
        <v>#N/A</v>
      </c>
      <c r="I31"/>
    </row>
    <row r="32" spans="1:9" x14ac:dyDescent="0.25">
      <c r="A32" s="38" t="s">
        <v>20</v>
      </c>
      <c r="B32" s="38"/>
      <c r="C32" s="41" t="s">
        <v>68</v>
      </c>
      <c r="D32" s="37"/>
      <c r="E32" s="41"/>
      <c r="F32" s="41"/>
      <c r="G32" s="47"/>
      <c r="H32" s="48">
        <f>(SUMIF(Administrative17[Duration],"While homeless only",Administrative17[Monthly Cost Per Unit]))*12</f>
        <v>0</v>
      </c>
    </row>
    <row r="33" spans="1:8" x14ac:dyDescent="0.25">
      <c r="A33" s="26"/>
      <c r="B33" s="26"/>
      <c r="C33" s="41" t="s">
        <v>63</v>
      </c>
      <c r="D33" s="37"/>
      <c r="E33" s="41"/>
      <c r="F33" s="41"/>
      <c r="G33" s="47"/>
      <c r="H33" s="48">
        <f>(SUMIF(Administrative17[Duration],"While housed only",Administrative17[Monthly Cost Per Unit]))*12</f>
        <v>0</v>
      </c>
    </row>
    <row r="34" spans="1:8" x14ac:dyDescent="0.25">
      <c r="A34" s="26"/>
      <c r="B34" s="26"/>
      <c r="C34" s="41" t="s">
        <v>58</v>
      </c>
      <c r="D34" s="37"/>
      <c r="E34" s="41"/>
      <c r="F34" s="41"/>
      <c r="G34" s="47"/>
      <c r="H34" s="48">
        <f>(SUMIF(Administrative17[Duration],"Homeless &amp; housed",Administrative17[Monthly Cost Per Unit]))*12</f>
        <v>0</v>
      </c>
    </row>
    <row r="35" spans="1:8" ht="15.75" thickBot="1" x14ac:dyDescent="0.3">
      <c r="A35" s="26"/>
      <c r="B35" s="26"/>
      <c r="C35" s="42" t="s">
        <v>207</v>
      </c>
      <c r="D35" s="24"/>
      <c r="E35" s="42"/>
      <c r="F35" s="42"/>
      <c r="G35" s="49"/>
      <c r="H35" s="50">
        <f>(SUMIF(Administrative17[Duration],"N/A",Administrative17[Monthly Cost Per Unit]))*12</f>
        <v>3666.6666666666665</v>
      </c>
    </row>
    <row r="36" spans="1:8" ht="16.5" thickTop="1" thickBot="1" x14ac:dyDescent="0.3">
      <c r="A36" s="27"/>
      <c r="B36" s="27"/>
      <c r="C36" s="42" t="s">
        <v>42</v>
      </c>
      <c r="D36" s="24"/>
      <c r="E36" s="42"/>
      <c r="F36" s="42"/>
      <c r="G36" s="51"/>
      <c r="H36" s="50">
        <f>SUM(H32:H35)</f>
        <v>3666.6666666666665</v>
      </c>
    </row>
    <row r="37" spans="1:8" ht="15.75" thickTop="1" x14ac:dyDescent="0.25">
      <c r="A37" s="10"/>
      <c r="B37" s="10"/>
      <c r="C37" s="10"/>
      <c r="D37" s="10"/>
      <c r="F37" s="12"/>
      <c r="G37" s="12"/>
    </row>
    <row r="38" spans="1:8" x14ac:dyDescent="0.25">
      <c r="A38" s="274" t="s">
        <v>61</v>
      </c>
      <c r="B38" s="274"/>
      <c r="C38" s="274"/>
      <c r="D38" s="274"/>
      <c r="E38" s="274"/>
      <c r="F38" s="274"/>
      <c r="G38" s="274"/>
      <c r="H38" s="274"/>
    </row>
    <row r="39" spans="1:8" ht="30" customHeight="1" outlineLevel="1" x14ac:dyDescent="0.25">
      <c r="A39" s="294" t="s">
        <v>189</v>
      </c>
      <c r="B39" s="294"/>
      <c r="C39" s="294"/>
      <c r="D39" s="294"/>
      <c r="E39" s="294"/>
      <c r="F39" s="294"/>
      <c r="G39" s="294"/>
      <c r="H39" s="294"/>
    </row>
    <row r="40" spans="1:8" s="3" customFormat="1" ht="28.35" customHeight="1" x14ac:dyDescent="0.25">
      <c r="A40" s="13" t="s">
        <v>51</v>
      </c>
      <c r="B40" s="13" t="s">
        <v>52</v>
      </c>
      <c r="C40" s="13" t="s">
        <v>53</v>
      </c>
      <c r="D40" s="13" t="s">
        <v>54</v>
      </c>
      <c r="E40" s="13" t="s">
        <v>55</v>
      </c>
      <c r="F40" s="13" t="s">
        <v>56</v>
      </c>
      <c r="G40" s="13" t="s">
        <v>57</v>
      </c>
      <c r="H40" s="45" t="s">
        <v>20</v>
      </c>
    </row>
    <row r="41" spans="1:8" x14ac:dyDescent="0.25">
      <c r="A41" s="125"/>
      <c r="B41" s="57"/>
      <c r="C41" s="73"/>
      <c r="D41" s="74"/>
      <c r="E41" s="60"/>
      <c r="F41" s="60"/>
      <c r="G41" s="53" t="e" cm="1">
        <f t="array" ref="G41">_xlfn.IFS(Operations18[[#This Row],[Unit]]="Program-wide",((_xlfn.IFS(Operations18[[#This Row],[Frequency]]="Per Year",Operations18[[#This Row],[Cost]]/12,Operations18[[#This Row],[Frequency]]="Per month",Operations18[[#This Row],[Cost]],Operations18[[#This Row],[Frequency]]="Per day",Operations18[[#This Row],[Cost]]*30,Operations18[[#This Row],[Frequency]]="One-time",Operations18[[#This Row],[Cost]]/SUM(C18,C19)))/$C$17),Operations18[[#This Row],[Unit]]="Per unit/space/household",(_xlfn.IFS(Operations18[[#This Row],[Frequency]]="Per Year",Operations18[[#This Row],[Cost]]/12,Operations18[[#This Row],[Frequency]]="Per month",Operations18[[#This Row],[Cost]],Operations18[[#This Row],[Frequency]]="Per day",Operations18[[#This Row],[Cost]]*30,Operations18[[#This Row],[Frequency]]="One-time",Operations18[[#This Row],[Cost]]/SUM($C$18,$C$19))))</f>
        <v>#N/A</v>
      </c>
      <c r="H41" s="46" t="e">
        <f>Operations18[[#This Row],[Monthly Cost Per Unit]]*12</f>
        <v>#N/A</v>
      </c>
    </row>
    <row r="42" spans="1:8" x14ac:dyDescent="0.25">
      <c r="A42" s="57"/>
      <c r="B42" s="57"/>
      <c r="C42" s="58"/>
      <c r="D42" s="59"/>
      <c r="E42" s="60"/>
      <c r="F42" s="60"/>
      <c r="G42" s="53" t="e" cm="1">
        <f t="array" ref="G42">_xlfn.IFS(Operations18[[#This Row],[Unit]]="Program-wide",((_xlfn.IFS(Operations18[[#This Row],[Frequency]]="Per Year",Operations18[[#This Row],[Cost]]/12,Operations18[[#This Row],[Frequency]]="Per month",Operations18[[#This Row],[Cost]],Operations18[[#This Row],[Frequency]]="Per day",Operations18[[#This Row],[Cost]]*30,Operations18[[#This Row],[Frequency]]="One-time",Operations18[[#This Row],[Cost]]/SUM($C$18,$C$19)))/$C$17),Operations18[[#This Row],[Unit]]="Per unit/space/household",(_xlfn.IFS(Operations18[[#This Row],[Frequency]]="Per Year",Operations18[[#This Row],[Cost]]/12,Operations18[[#This Row],[Frequency]]="Per month",Operations18[[#This Row],[Cost]],Operations18[[#This Row],[Frequency]]="Per day",Operations18[[#This Row],[Cost]]*30,Operations18[[#This Row],[Frequency]]="One-time",Operations18[[#This Row],[Cost]]/SUM($C$18,$C$19))))</f>
        <v>#N/A</v>
      </c>
      <c r="H42" s="46" t="e">
        <f>Operations18[[#This Row],[Monthly Cost Per Unit]]*12</f>
        <v>#N/A</v>
      </c>
    </row>
    <row r="43" spans="1:8" x14ac:dyDescent="0.25">
      <c r="A43" s="57"/>
      <c r="B43" s="57"/>
      <c r="C43" s="58"/>
      <c r="D43" s="59"/>
      <c r="E43" s="60"/>
      <c r="F43" s="60"/>
      <c r="G43" s="53" t="e" cm="1">
        <f t="array" ref="G43">_xlfn.IFS(Operations18[[#This Row],[Unit]]="Program-wide",((_xlfn.IFS(Operations18[[#This Row],[Frequency]]="Per Year",Operations18[[#This Row],[Cost]]/12,Operations18[[#This Row],[Frequency]]="Per month",Operations18[[#This Row],[Cost]],Operations18[[#This Row],[Frequency]]="Per day",Operations18[[#This Row],[Cost]]*30,Operations18[[#This Row],[Frequency]]="One-time",Operations18[[#This Row],[Cost]]/SUM($C$18,$C$19)))/$C$17),Operations18[[#This Row],[Unit]]="Per unit/space/household",(_xlfn.IFS(Operations18[[#This Row],[Frequency]]="Per Year",Operations18[[#This Row],[Cost]]/12,Operations18[[#This Row],[Frequency]]="Per month",Operations18[[#This Row],[Cost]],Operations18[[#This Row],[Frequency]]="Per day",Operations18[[#This Row],[Cost]]*30,Operations18[[#This Row],[Frequency]]="One-time",Operations18[[#This Row],[Cost]]/SUM($C$18,$C$19))))</f>
        <v>#N/A</v>
      </c>
      <c r="H43" s="46" t="e">
        <f>Operations18[[#This Row],[Monthly Cost Per Unit]]*12</f>
        <v>#N/A</v>
      </c>
    </row>
    <row r="44" spans="1:8" x14ac:dyDescent="0.25">
      <c r="A44" s="57"/>
      <c r="B44" s="57"/>
      <c r="C44" s="58"/>
      <c r="D44" s="59"/>
      <c r="E44" s="60"/>
      <c r="F44" s="60"/>
      <c r="G44" s="53" t="e" cm="1">
        <f t="array" ref="G44">_xlfn.IFS(Operations18[[#This Row],[Unit]]="Program-wide",((_xlfn.IFS(Operations18[[#This Row],[Frequency]]="Per Year",Operations18[[#This Row],[Cost]]/12,Operations18[[#This Row],[Frequency]]="Per month",Operations18[[#This Row],[Cost]],Operations18[[#This Row],[Frequency]]="Per day",Operations18[[#This Row],[Cost]]*30,Operations18[[#This Row],[Frequency]]="One-time",Operations18[[#This Row],[Cost]]/SUM($C$18,$C$19)))/$C$17),Operations18[[#This Row],[Unit]]="Per unit/space/household",(_xlfn.IFS(Operations18[[#This Row],[Frequency]]="Per Year",Operations18[[#This Row],[Cost]]/12,Operations18[[#This Row],[Frequency]]="Per month",Operations18[[#This Row],[Cost]],Operations18[[#This Row],[Frequency]]="Per day",Operations18[[#This Row],[Cost]]*30,Operations18[[#This Row],[Frequency]]="One-time",Operations18[[#This Row],[Cost]]/SUM($C$18,$C$19))))</f>
        <v>#N/A</v>
      </c>
      <c r="H44" s="46" t="e">
        <f>Operations18[[#This Row],[Monthly Cost Per Unit]]*12</f>
        <v>#N/A</v>
      </c>
    </row>
    <row r="45" spans="1:8" x14ac:dyDescent="0.25">
      <c r="A45" s="57"/>
      <c r="B45" s="57"/>
      <c r="C45" s="58"/>
      <c r="D45" s="59"/>
      <c r="E45" s="60"/>
      <c r="F45" s="60"/>
      <c r="G45" s="53" t="e" cm="1">
        <f t="array" ref="G45">_xlfn.IFS(Operations18[[#This Row],[Unit]]="Program-wide",((_xlfn.IFS(Operations18[[#This Row],[Frequency]]="Per Year",Operations18[[#This Row],[Cost]]/12,Operations18[[#This Row],[Frequency]]="Per month",Operations18[[#This Row],[Cost]],Operations18[[#This Row],[Frequency]]="Per day",Operations18[[#This Row],[Cost]]*30,Operations18[[#This Row],[Frequency]]="One-time",Operations18[[#This Row],[Cost]]/SUM($C$18,$C$19)))/$C$17),Operations18[[#This Row],[Unit]]="Per unit/space/household",(_xlfn.IFS(Operations18[[#This Row],[Frequency]]="Per Year",Operations18[[#This Row],[Cost]]/12,Operations18[[#This Row],[Frequency]]="Per month",Operations18[[#This Row],[Cost]],Operations18[[#This Row],[Frequency]]="Per day",Operations18[[#This Row],[Cost]]*30,Operations18[[#This Row],[Frequency]]="One-time",Operations18[[#This Row],[Cost]]/SUM($C$18,$C$19))))</f>
        <v>#N/A</v>
      </c>
      <c r="H45" s="46" t="e">
        <f>Operations18[[#This Row],[Monthly Cost Per Unit]]*12</f>
        <v>#N/A</v>
      </c>
    </row>
    <row r="46" spans="1:8" x14ac:dyDescent="0.25">
      <c r="A46" s="57"/>
      <c r="B46" s="57"/>
      <c r="C46" s="58"/>
      <c r="D46" s="59"/>
      <c r="E46" s="60"/>
      <c r="F46" s="60"/>
      <c r="G46" s="53" t="e" cm="1">
        <f t="array" ref="G46">_xlfn.IFS(Operations18[[#This Row],[Unit]]="Program-wide",((_xlfn.IFS(Operations18[[#This Row],[Frequency]]="Per Year",Operations18[[#This Row],[Cost]]/12,Operations18[[#This Row],[Frequency]]="Per month",Operations18[[#This Row],[Cost]],Operations18[[#This Row],[Frequency]]="Per day",Operations18[[#This Row],[Cost]]*30,Operations18[[#This Row],[Frequency]]="One-time",Operations18[[#This Row],[Cost]]/SUM($C$18,$C$19)))/$C$17),Operations18[[#This Row],[Unit]]="Per unit/space/household",(_xlfn.IFS(Operations18[[#This Row],[Frequency]]="Per Year",Operations18[[#This Row],[Cost]]/12,Operations18[[#This Row],[Frequency]]="Per month",Operations18[[#This Row],[Cost]],Operations18[[#This Row],[Frequency]]="Per day",Operations18[[#This Row],[Cost]]*30,Operations18[[#This Row],[Frequency]]="One-time",Operations18[[#This Row],[Cost]]/SUM($C$18,$C$19))))</f>
        <v>#N/A</v>
      </c>
      <c r="H46" s="46" t="e">
        <f>Operations18[[#This Row],[Monthly Cost Per Unit]]*12</f>
        <v>#N/A</v>
      </c>
    </row>
    <row r="47" spans="1:8" x14ac:dyDescent="0.25">
      <c r="A47" s="57"/>
      <c r="B47" s="57"/>
      <c r="C47" s="58"/>
      <c r="D47" s="59"/>
      <c r="E47" s="60"/>
      <c r="F47" s="60"/>
      <c r="G47" s="53" t="e" cm="1">
        <f t="array" ref="G47">_xlfn.IFS(Operations18[[#This Row],[Unit]]="Program-wide",((_xlfn.IFS(Operations18[[#This Row],[Frequency]]="Per Year",Operations18[[#This Row],[Cost]]/12,Operations18[[#This Row],[Frequency]]="Per month",Operations18[[#This Row],[Cost]],Operations18[[#This Row],[Frequency]]="Per day",Operations18[[#This Row],[Cost]]*30,Operations18[[#This Row],[Frequency]]="One-time",Operations18[[#This Row],[Cost]]/SUM($C$18,$C$19)))/$C$17),Operations18[[#This Row],[Unit]]="Per unit/space/household",(_xlfn.IFS(Operations18[[#This Row],[Frequency]]="Per Year",Operations18[[#This Row],[Cost]]/12,Operations18[[#This Row],[Frequency]]="Per month",Operations18[[#This Row],[Cost]],Operations18[[#This Row],[Frequency]]="Per day",Operations18[[#This Row],[Cost]]*30,Operations18[[#This Row],[Frequency]]="One-time",Operations18[[#This Row],[Cost]]/SUM($C$18,$C$19))))</f>
        <v>#N/A</v>
      </c>
      <c r="H47" s="46" t="e">
        <f>Operations18[[#This Row],[Monthly Cost Per Unit]]*12</f>
        <v>#N/A</v>
      </c>
    </row>
    <row r="48" spans="1:8" x14ac:dyDescent="0.25">
      <c r="A48" s="57"/>
      <c r="B48" s="57"/>
      <c r="C48" s="58"/>
      <c r="D48" s="59"/>
      <c r="E48" s="60"/>
      <c r="F48" s="60"/>
      <c r="G48" s="53" t="e" cm="1">
        <f t="array" ref="G48">_xlfn.IFS(Operations18[[#This Row],[Unit]]="Program-wide",((_xlfn.IFS(Operations18[[#This Row],[Frequency]]="Per Year",Operations18[[#This Row],[Cost]]/12,Operations18[[#This Row],[Frequency]]="Per month",Operations18[[#This Row],[Cost]],Operations18[[#This Row],[Frequency]]="Per day",Operations18[[#This Row],[Cost]]*30,Operations18[[#This Row],[Frequency]]="One-time",Operations18[[#This Row],[Cost]]/SUM($C$18,$C$19)))/$C$17),Operations18[[#This Row],[Unit]]="Per unit/space/household",(_xlfn.IFS(Operations18[[#This Row],[Frequency]]="Per Year",Operations18[[#This Row],[Cost]]/12,Operations18[[#This Row],[Frequency]]="Per month",Operations18[[#This Row],[Cost]],Operations18[[#This Row],[Frequency]]="Per day",Operations18[[#This Row],[Cost]]*30,Operations18[[#This Row],[Frequency]]="One-time",Operations18[[#This Row],[Cost]]/SUM($C$18,$C$19))))</f>
        <v>#N/A</v>
      </c>
      <c r="H48" s="46" t="e">
        <f>Operations18[[#This Row],[Monthly Cost Per Unit]]*12</f>
        <v>#N/A</v>
      </c>
    </row>
    <row r="49" spans="1:9" x14ac:dyDescent="0.25">
      <c r="A49" s="57"/>
      <c r="B49" s="57"/>
      <c r="C49" s="58"/>
      <c r="D49" s="59"/>
      <c r="E49" s="60"/>
      <c r="F49" s="60"/>
      <c r="G49" s="53" t="e" cm="1">
        <f t="array" ref="G49">_xlfn.IFS(Operations18[[#This Row],[Unit]]="Program-wide",((_xlfn.IFS(Operations18[[#This Row],[Frequency]]="Per Year",Operations18[[#This Row],[Cost]]/12,Operations18[[#This Row],[Frequency]]="Per month",Operations18[[#This Row],[Cost]],Operations18[[#This Row],[Frequency]]="Per day",Operations18[[#This Row],[Cost]]*30,Operations18[[#This Row],[Frequency]]="One-time",Operations18[[#This Row],[Cost]]/SUM($C$18,$C$19)))/$C$17),Operations18[[#This Row],[Unit]]="Per unit/space/household",(_xlfn.IFS(Operations18[[#This Row],[Frequency]]="Per Year",Operations18[[#This Row],[Cost]]/12,Operations18[[#This Row],[Frequency]]="Per month",Operations18[[#This Row],[Cost]],Operations18[[#This Row],[Frequency]]="Per day",Operations18[[#This Row],[Cost]]*30,Operations18[[#This Row],[Frequency]]="One-time",Operations18[[#This Row],[Cost]]/SUM($C$18,$C$19))))</f>
        <v>#N/A</v>
      </c>
      <c r="H49" s="46" t="e">
        <f>Operations18[[#This Row],[Monthly Cost Per Unit]]*12</f>
        <v>#N/A</v>
      </c>
    </row>
    <row r="50" spans="1:9" x14ac:dyDescent="0.25">
      <c r="A50" s="57"/>
      <c r="B50" s="57"/>
      <c r="C50" s="58"/>
      <c r="D50" s="59"/>
      <c r="E50" s="60"/>
      <c r="F50" s="60"/>
      <c r="G50" s="53" t="e" cm="1">
        <f t="array" ref="G50">_xlfn.IFS(Operations18[[#This Row],[Unit]]="Program-wide",((_xlfn.IFS(Operations18[[#This Row],[Frequency]]="Per Year",Operations18[[#This Row],[Cost]]/12,Operations18[[#This Row],[Frequency]]="Per month",Operations18[[#This Row],[Cost]],Operations18[[#This Row],[Frequency]]="Per day",Operations18[[#This Row],[Cost]]*30,Operations18[[#This Row],[Frequency]]="One-time",Operations18[[#This Row],[Cost]]/SUM($C$18,$C$19)))/$C$17),Operations18[[#This Row],[Unit]]="Per unit/space/household",(_xlfn.IFS(Operations18[[#This Row],[Frequency]]="Per Year",Operations18[[#This Row],[Cost]]/12,Operations18[[#This Row],[Frequency]]="Per month",Operations18[[#This Row],[Cost]],Operations18[[#This Row],[Frequency]]="Per day",Operations18[[#This Row],[Cost]]*30,Operations18[[#This Row],[Frequency]]="One-time",Operations18[[#This Row],[Cost]]/SUM($C$18,$C$19))))</f>
        <v>#N/A</v>
      </c>
      <c r="H50" s="46" t="e">
        <f>Operations18[[#This Row],[Monthly Cost Per Unit]]*12</f>
        <v>#N/A</v>
      </c>
    </row>
    <row r="51" spans="1:9" x14ac:dyDescent="0.25">
      <c r="A51" s="57"/>
      <c r="B51" s="57"/>
      <c r="C51" s="58"/>
      <c r="D51" s="59"/>
      <c r="E51" s="60"/>
      <c r="F51" s="60"/>
      <c r="G51" s="53" t="e" cm="1">
        <f t="array" ref="G51">_xlfn.IFS(Operations18[[#This Row],[Unit]]="Program-wide",((_xlfn.IFS(Operations18[[#This Row],[Frequency]]="Per Year",Operations18[[#This Row],[Cost]]/12,Operations18[[#This Row],[Frequency]]="Per month",Operations18[[#This Row],[Cost]],Operations18[[#This Row],[Frequency]]="Per day",Operations18[[#This Row],[Cost]]*30,Operations18[[#This Row],[Frequency]]="One-time",Operations18[[#This Row],[Cost]]/SUM($C$18,$C$19)))/$C$17),Operations18[[#This Row],[Unit]]="Per unit/space/household",(_xlfn.IFS(Operations18[[#This Row],[Frequency]]="Per Year",Operations18[[#This Row],[Cost]]/12,Operations18[[#This Row],[Frequency]]="Per month",Operations18[[#This Row],[Cost]],Operations18[[#This Row],[Frequency]]="Per day",Operations18[[#This Row],[Cost]]*30,Operations18[[#This Row],[Frequency]]="One-time",Operations18[[#This Row],[Cost]]/SUM($C$18,$C$19))))</f>
        <v>#N/A</v>
      </c>
      <c r="H51" s="46" t="e">
        <f>Operations18[[#This Row],[Monthly Cost Per Unit]]*12</f>
        <v>#N/A</v>
      </c>
    </row>
    <row r="52" spans="1:9" x14ac:dyDescent="0.25">
      <c r="A52" s="57"/>
      <c r="B52" s="57"/>
      <c r="C52" s="58"/>
      <c r="D52" s="59"/>
      <c r="E52" s="60"/>
      <c r="F52" s="60"/>
      <c r="G52" s="55" t="e" cm="1">
        <f t="array" ref="G52">_xlfn.IFS(Operations18[[#This Row],[Unit]]="Program-wide",((_xlfn.IFS(Operations18[[#This Row],[Frequency]]="Per Year",Operations18[[#This Row],[Cost]]/12,Operations18[[#This Row],[Frequency]]="Per month",Operations18[[#This Row],[Cost]],Operations18[[#This Row],[Frequency]]="Per day",Operations18[[#This Row],[Cost]]*30,Operations18[[#This Row],[Frequency]]="One-time",Operations18[[#This Row],[Cost]]/SUM($C$18,$C$19)))/$C$17),Operations18[[#This Row],[Unit]]="Per unit/space/household",(_xlfn.IFS(Operations18[[#This Row],[Frequency]]="Per Year",Operations18[[#This Row],[Cost]]/12,Operations18[[#This Row],[Frequency]]="Per month",Operations18[[#This Row],[Cost]],Operations18[[#This Row],[Frequency]]="Per day",Operations18[[#This Row],[Cost]]*30,Operations18[[#This Row],[Frequency]]="One-time",Operations18[[#This Row],[Cost]]/SUM($C$18,$C$19))))</f>
        <v>#N/A</v>
      </c>
      <c r="H52" s="46" t="e">
        <f>Operations18[[#This Row],[Monthly Cost Per Unit]]*12</f>
        <v>#N/A</v>
      </c>
    </row>
    <row r="53" spans="1:9" x14ac:dyDescent="0.25">
      <c r="A53" s="38" t="s">
        <v>20</v>
      </c>
      <c r="B53" s="38"/>
      <c r="C53" s="41" t="s">
        <v>68</v>
      </c>
      <c r="D53" s="37"/>
      <c r="E53" s="41"/>
      <c r="F53" s="41"/>
      <c r="G53" s="52"/>
      <c r="H53" s="48">
        <f>(SUMIF(Operations18[Duration],"While homeless only",Operations18[Monthly Cost Per Unit]))*12</f>
        <v>0</v>
      </c>
    </row>
    <row r="54" spans="1:9" x14ac:dyDescent="0.25">
      <c r="A54" s="26"/>
      <c r="B54" s="26"/>
      <c r="C54" s="41" t="s">
        <v>63</v>
      </c>
      <c r="D54" s="37"/>
      <c r="E54" s="41"/>
      <c r="F54" s="41"/>
      <c r="G54" s="48"/>
      <c r="H54" s="48">
        <f>(SUMIF(Operations18[Duration],"While housed only",Operations18[Monthly Cost Per Unit]))*12</f>
        <v>0</v>
      </c>
    </row>
    <row r="55" spans="1:9" x14ac:dyDescent="0.25">
      <c r="A55" s="26"/>
      <c r="B55" s="26"/>
      <c r="C55" s="41" t="s">
        <v>58</v>
      </c>
      <c r="D55" s="37"/>
      <c r="E55" s="41"/>
      <c r="F55" s="41"/>
      <c r="G55" s="48"/>
      <c r="H55" s="48">
        <f>(SUMIF(Operations18[Duration],"Homeless &amp; housed",Operations18[Monthly Cost Per Unit]))*12</f>
        <v>0</v>
      </c>
    </row>
    <row r="56" spans="1:9" ht="15.75" thickBot="1" x14ac:dyDescent="0.3">
      <c r="A56" s="26"/>
      <c r="B56" s="26"/>
      <c r="C56" s="42" t="s">
        <v>207</v>
      </c>
      <c r="D56" s="24"/>
      <c r="E56" s="42"/>
      <c r="F56" s="42"/>
      <c r="G56" s="50"/>
      <c r="H56" s="50">
        <f>(SUMIF(Operations18[Duration],"N/A",Operations18[Monthly Cost Per Unit]))*12</f>
        <v>0</v>
      </c>
    </row>
    <row r="57" spans="1:9" ht="16.5" thickTop="1" thickBot="1" x14ac:dyDescent="0.3">
      <c r="A57" s="27"/>
      <c r="B57" s="27"/>
      <c r="C57" s="42" t="s">
        <v>42</v>
      </c>
      <c r="D57" s="24"/>
      <c r="E57" s="42"/>
      <c r="F57" s="42"/>
      <c r="G57" s="50"/>
      <c r="H57" s="50">
        <f>SUM(H53:H56)</f>
        <v>0</v>
      </c>
    </row>
    <row r="58" spans="1:9" ht="15.75" thickTop="1" x14ac:dyDescent="0.25">
      <c r="A58" s="43"/>
      <c r="B58" s="43"/>
      <c r="C58" s="44"/>
      <c r="D58" s="25"/>
      <c r="E58" s="20"/>
      <c r="F58" s="20"/>
      <c r="G58" s="21"/>
    </row>
    <row r="59" spans="1:9" x14ac:dyDescent="0.25">
      <c r="A59" s="274" t="s">
        <v>69</v>
      </c>
      <c r="B59" s="274"/>
      <c r="C59" s="274"/>
      <c r="D59" s="274"/>
      <c r="E59" s="274"/>
      <c r="F59" s="274"/>
      <c r="G59" s="274"/>
      <c r="H59" s="274"/>
      <c r="I59" s="12"/>
    </row>
    <row r="60" spans="1:9" ht="27.95" customHeight="1" outlineLevel="1" x14ac:dyDescent="0.25">
      <c r="A60" s="281" t="s">
        <v>191</v>
      </c>
      <c r="B60" s="281"/>
      <c r="C60" s="281"/>
      <c r="D60" s="281"/>
      <c r="E60" s="281"/>
      <c r="F60" s="281"/>
      <c r="G60" s="281"/>
      <c r="H60" s="281"/>
      <c r="I60" s="12"/>
    </row>
    <row r="61" spans="1:9" ht="18" customHeight="1" outlineLevel="1" x14ac:dyDescent="0.25">
      <c r="A61" s="279" t="s">
        <v>70</v>
      </c>
      <c r="B61" s="279"/>
      <c r="C61" s="279"/>
      <c r="D61" s="279"/>
      <c r="E61" s="279"/>
      <c r="F61" s="279"/>
      <c r="G61" s="92"/>
      <c r="H61" s="10"/>
      <c r="I61" s="12"/>
    </row>
    <row r="62" spans="1:9" ht="45" customHeight="1" outlineLevel="1" x14ac:dyDescent="0.25">
      <c r="A62" s="278" t="s">
        <v>118</v>
      </c>
      <c r="B62" s="278"/>
      <c r="C62" s="278"/>
      <c r="D62" s="278"/>
      <c r="E62" s="278"/>
      <c r="F62" s="278"/>
      <c r="G62" s="92"/>
      <c r="H62" s="10"/>
      <c r="I62" s="12"/>
    </row>
    <row r="63" spans="1:9" ht="45.75" thickBot="1" x14ac:dyDescent="0.3">
      <c r="A63" s="2"/>
      <c r="B63" t="s">
        <v>71</v>
      </c>
      <c r="C63" s="11" t="s">
        <v>72</v>
      </c>
      <c r="D63" s="11" t="s">
        <v>73</v>
      </c>
      <c r="E63" s="11" t="s">
        <v>74</v>
      </c>
      <c r="F63" s="31" t="s">
        <v>75</v>
      </c>
      <c r="G63" s="10"/>
    </row>
    <row r="64" spans="1:9" ht="16.5" thickTop="1" thickBot="1" x14ac:dyDescent="0.3">
      <c r="A64" s="8" t="s">
        <v>76</v>
      </c>
      <c r="B64" s="68">
        <v>10</v>
      </c>
      <c r="C64" s="69">
        <v>1100</v>
      </c>
      <c r="D64" s="69">
        <v>800</v>
      </c>
      <c r="E64" s="69">
        <v>100</v>
      </c>
      <c r="F64" s="70">
        <f>SUM(D64:E64)</f>
        <v>900</v>
      </c>
      <c r="G64" s="10"/>
    </row>
    <row r="65" spans="1:9" s="3" customFormat="1" ht="16.5" thickTop="1" thickBot="1" x14ac:dyDescent="0.3">
      <c r="A65" s="8" t="s">
        <v>77</v>
      </c>
      <c r="B65" s="68">
        <v>10</v>
      </c>
      <c r="C65" s="69">
        <v>1500</v>
      </c>
      <c r="D65" s="69">
        <v>1000</v>
      </c>
      <c r="E65" s="69">
        <v>100</v>
      </c>
      <c r="F65" s="70">
        <f t="shared" ref="F65:F71" si="0">SUM(D65:E65)</f>
        <v>1100</v>
      </c>
      <c r="G65" s="10"/>
    </row>
    <row r="66" spans="1:9" ht="16.5" thickTop="1" thickBot="1" x14ac:dyDescent="0.3">
      <c r="A66" s="8" t="s">
        <v>78</v>
      </c>
      <c r="B66" s="68">
        <v>5</v>
      </c>
      <c r="C66" s="69">
        <v>2200</v>
      </c>
      <c r="D66" s="69">
        <v>1700</v>
      </c>
      <c r="E66" s="69">
        <v>100</v>
      </c>
      <c r="F66" s="70">
        <f t="shared" si="0"/>
        <v>1800</v>
      </c>
      <c r="G66" s="10"/>
    </row>
    <row r="67" spans="1:9" ht="16.5" thickTop="1" thickBot="1" x14ac:dyDescent="0.3">
      <c r="A67" s="8" t="s">
        <v>79</v>
      </c>
      <c r="B67" s="68">
        <v>0</v>
      </c>
      <c r="C67" s="69">
        <v>0</v>
      </c>
      <c r="D67" s="69">
        <v>0</v>
      </c>
      <c r="E67" s="69">
        <v>0</v>
      </c>
      <c r="F67" s="70">
        <f t="shared" si="0"/>
        <v>0</v>
      </c>
      <c r="G67" s="10"/>
    </row>
    <row r="68" spans="1:9" ht="16.5" thickTop="1" thickBot="1" x14ac:dyDescent="0.3">
      <c r="A68" s="8" t="s">
        <v>80</v>
      </c>
      <c r="B68" s="68">
        <v>0</v>
      </c>
      <c r="C68" s="69">
        <v>0</v>
      </c>
      <c r="D68" s="69">
        <v>0</v>
      </c>
      <c r="E68" s="69">
        <v>0</v>
      </c>
      <c r="F68" s="70">
        <f t="shared" si="0"/>
        <v>0</v>
      </c>
      <c r="G68" s="10"/>
    </row>
    <row r="69" spans="1:9" ht="16.5" thickTop="1" thickBot="1" x14ac:dyDescent="0.3">
      <c r="A69" s="8" t="s">
        <v>81</v>
      </c>
      <c r="B69" s="68">
        <v>0</v>
      </c>
      <c r="C69" s="69">
        <v>0</v>
      </c>
      <c r="D69" s="69">
        <v>0</v>
      </c>
      <c r="E69" s="69">
        <v>0</v>
      </c>
      <c r="F69" s="70">
        <f t="shared" si="0"/>
        <v>0</v>
      </c>
      <c r="G69" s="10"/>
    </row>
    <row r="70" spans="1:9" ht="16.5" thickTop="1" thickBot="1" x14ac:dyDescent="0.3">
      <c r="A70" s="8" t="s">
        <v>82</v>
      </c>
      <c r="B70" s="68">
        <v>0</v>
      </c>
      <c r="C70" s="69">
        <v>0</v>
      </c>
      <c r="D70" s="69">
        <v>0</v>
      </c>
      <c r="E70" s="69">
        <v>0</v>
      </c>
      <c r="F70" s="70">
        <f t="shared" si="0"/>
        <v>0</v>
      </c>
      <c r="G70" s="10"/>
    </row>
    <row r="71" spans="1:9" ht="16.5" thickTop="1" thickBot="1" x14ac:dyDescent="0.3">
      <c r="A71" s="8" t="s">
        <v>83</v>
      </c>
      <c r="B71" s="68">
        <v>0</v>
      </c>
      <c r="C71" s="69">
        <v>0</v>
      </c>
      <c r="D71" s="69">
        <v>0</v>
      </c>
      <c r="E71" s="69">
        <v>0</v>
      </c>
      <c r="F71" s="70">
        <f t="shared" si="0"/>
        <v>0</v>
      </c>
      <c r="G71" s="10"/>
    </row>
    <row r="72" spans="1:9" ht="15.75" thickTop="1" x14ac:dyDescent="0.25">
      <c r="A72" s="9" t="s">
        <v>21</v>
      </c>
      <c r="C72" s="72">
        <f>SUM((C64*B64),(C65*B65),(C66*B66),(C67*B67),(C68*B68),(C69*B69),(C70*B70),(C71*B71))/(SUM(B64:B71))</f>
        <v>1480</v>
      </c>
      <c r="D72" s="72">
        <f>SUM((D64*B64),(D65*B65),(D66*B66),(D67*B67),(D68*B68),(D69*B69),(D70*B70),(D71*B71))/(SUM(B64:B71))</f>
        <v>1060</v>
      </c>
      <c r="E72" s="72">
        <f>SUM((E64*B64),(E65*B65),(E66*B66),(E67*B67),(E68*B68),(E69*B69),(E70*B70),(E71*B71))/(SUM(B64:B71))</f>
        <v>100</v>
      </c>
      <c r="F72" s="71">
        <f>SUM((F64*B64),(F65*B65),(F66*B66),(F67*B67),(F68*B68),(F69*B69),(F70*B70),(F71*B71))/(SUM(B64:B71))</f>
        <v>1160</v>
      </c>
      <c r="G72" s="10"/>
    </row>
    <row r="73" spans="1:9" x14ac:dyDescent="0.25">
      <c r="A73" s="22"/>
      <c r="B73" s="23"/>
      <c r="C73" s="23"/>
      <c r="E73" s="10"/>
      <c r="F73" s="10"/>
      <c r="G73" s="12"/>
    </row>
    <row r="74" spans="1:9" x14ac:dyDescent="0.25">
      <c r="A74" s="279" t="s">
        <v>84</v>
      </c>
      <c r="B74" s="279"/>
      <c r="C74" s="279"/>
      <c r="D74" s="279"/>
      <c r="E74" s="279"/>
      <c r="F74" s="279"/>
      <c r="G74" s="279"/>
      <c r="H74" s="279"/>
    </row>
    <row r="75" spans="1:9" s="1" customFormat="1" ht="50.1" customHeight="1" outlineLevel="1" x14ac:dyDescent="0.25">
      <c r="A75" s="278" t="s">
        <v>119</v>
      </c>
      <c r="B75" s="278"/>
      <c r="C75" s="278"/>
      <c r="D75" s="278"/>
      <c r="E75" s="278"/>
      <c r="F75" s="278"/>
      <c r="G75" s="278"/>
      <c r="H75" s="278"/>
      <c r="I75"/>
    </row>
    <row r="76" spans="1:9" s="3" customFormat="1" ht="28.35" customHeight="1" x14ac:dyDescent="0.25">
      <c r="A76" s="13" t="s">
        <v>51</v>
      </c>
      <c r="B76" s="13" t="s">
        <v>52</v>
      </c>
      <c r="C76" s="13" t="s">
        <v>53</v>
      </c>
      <c r="D76" s="13" t="s">
        <v>54</v>
      </c>
      <c r="E76" s="13" t="s">
        <v>55</v>
      </c>
      <c r="F76" s="13" t="s">
        <v>56</v>
      </c>
      <c r="G76" s="13" t="s">
        <v>57</v>
      </c>
      <c r="H76" s="45" t="s">
        <v>20</v>
      </c>
    </row>
    <row r="77" spans="1:9" x14ac:dyDescent="0.25">
      <c r="A77" s="57" t="s">
        <v>194</v>
      </c>
      <c r="B77" s="56"/>
      <c r="C77" s="58" t="s">
        <v>63</v>
      </c>
      <c r="D77" s="59">
        <v>1060</v>
      </c>
      <c r="E77" s="60" t="s">
        <v>65</v>
      </c>
      <c r="F77" s="60" t="s">
        <v>64</v>
      </c>
      <c r="G77" s="53" cm="1">
        <f t="array" ref="G77">_xlfn.IFS(RentalAssistance19[[#This Row],[Unit]]="Program-wide",((_xlfn.IFS(RentalAssistance19[[#This Row],[Frequency]]="Per Year",RentalAssistance19[[#This Row],[Cost]]/12,RentalAssistance19[[#This Row],[Frequency]]="Per month",RentalAssistance19[[#This Row],[Cost]],RentalAssistance19[[#This Row],[Frequency]]="Per day",RentalAssistance19[[#This Row],[Cost]]*30,RentalAssistance19[[#This Row],[Frequency]]="One-time",RentalAssistance19[[#This Row],[Cost]]/SUM($C$18,$C$19)))/$C$17),RentalAssistance19[[#This Row],[Unit]]="Per unit/space/household",(_xlfn.IFS(RentalAssistance19[[#This Row],[Frequency]]="Per Year",RentalAssistance19[[#This Row],[Cost]]/12,RentalAssistance19[[#This Row],[Frequency]]="Per month",RentalAssistance19[[#This Row],[Cost]],RentalAssistance19[[#This Row],[Frequency]]="Per day",RentalAssistance19[[#This Row],[Cost]]*30,RentalAssistance19[[#This Row],[Frequency]]="One-time",RentalAssistance19[[#This Row],[Cost]]/SUM($C$18,$C$19))))</f>
        <v>1060</v>
      </c>
      <c r="H77" s="46">
        <f>RentalAssistance19[[#This Row],[Monthly Cost Per Unit]]*12</f>
        <v>12720</v>
      </c>
    </row>
    <row r="78" spans="1:9" x14ac:dyDescent="0.25">
      <c r="A78" s="57" t="s">
        <v>85</v>
      </c>
      <c r="B78" s="56"/>
      <c r="C78" s="58" t="s">
        <v>63</v>
      </c>
      <c r="D78" s="59">
        <v>500</v>
      </c>
      <c r="E78" s="60" t="s">
        <v>67</v>
      </c>
      <c r="F78" s="60" t="s">
        <v>64</v>
      </c>
      <c r="G78" s="53" cm="1">
        <f t="array" ref="G78">_xlfn.IFS(RentalAssistance19[[#This Row],[Unit]]="Program-wide",((_xlfn.IFS(RentalAssistance19[[#This Row],[Frequency]]="Per Year",RentalAssistance19[[#This Row],[Cost]]/12,RentalAssistance19[[#This Row],[Frequency]]="Per month",RentalAssistance19[[#This Row],[Cost]],RentalAssistance19[[#This Row],[Frequency]]="Per day",RentalAssistance19[[#This Row],[Cost]]*30,RentalAssistance19[[#This Row],[Frequency]]="One-time",RentalAssistance19[[#This Row],[Cost]]/SUM($C$18,$C$19)))/$C$17),RentalAssistance19[[#This Row],[Unit]]="Per unit/space/household",(_xlfn.IFS(RentalAssistance19[[#This Row],[Frequency]]="Per Year",RentalAssistance19[[#This Row],[Cost]]/12,RentalAssistance19[[#This Row],[Frequency]]="Per month",RentalAssistance19[[#This Row],[Cost]],RentalAssistance19[[#This Row],[Frequency]]="Per day",RentalAssistance19[[#This Row],[Cost]]*30,RentalAssistance19[[#This Row],[Frequency]]="One-time",RentalAssistance19[[#This Row],[Cost]]/SUM($C$18,$C$19))))</f>
        <v>33.333333333333336</v>
      </c>
      <c r="H78" s="46">
        <f>RentalAssistance19[[#This Row],[Monthly Cost Per Unit]]*12</f>
        <v>400</v>
      </c>
    </row>
    <row r="79" spans="1:9" x14ac:dyDescent="0.25">
      <c r="A79" s="57" t="s">
        <v>86</v>
      </c>
      <c r="B79" s="56"/>
      <c r="C79" s="58" t="s">
        <v>63</v>
      </c>
      <c r="D79" s="59">
        <v>1000</v>
      </c>
      <c r="E79" s="60" t="s">
        <v>67</v>
      </c>
      <c r="F79" s="60" t="s">
        <v>64</v>
      </c>
      <c r="G79" s="53" cm="1">
        <f t="array" ref="G79">_xlfn.IFS(RentalAssistance19[[#This Row],[Unit]]="Program-wide",((_xlfn.IFS(RentalAssistance19[[#This Row],[Frequency]]="Per Year",RentalAssistance19[[#This Row],[Cost]]/12,RentalAssistance19[[#This Row],[Frequency]]="Per month",RentalAssistance19[[#This Row],[Cost]],RentalAssistance19[[#This Row],[Frequency]]="Per day",RentalAssistance19[[#This Row],[Cost]]*30,RentalAssistance19[[#This Row],[Frequency]]="One-time",RentalAssistance19[[#This Row],[Cost]]/SUM($C$18,$C$19)))/$C$17),RentalAssistance19[[#This Row],[Unit]]="Per unit/space/household",(_xlfn.IFS(RentalAssistance19[[#This Row],[Frequency]]="Per Year",RentalAssistance19[[#This Row],[Cost]]/12,RentalAssistance19[[#This Row],[Frequency]]="Per month",RentalAssistance19[[#This Row],[Cost]],RentalAssistance19[[#This Row],[Frequency]]="Per day",RentalAssistance19[[#This Row],[Cost]]*30,RentalAssistance19[[#This Row],[Frequency]]="One-time",RentalAssistance19[[#This Row],[Cost]]/SUM($C$18,$C$19))))</f>
        <v>66.666666666666671</v>
      </c>
      <c r="H79" s="46">
        <f>RentalAssistance19[[#This Row],[Monthly Cost Per Unit]]*12</f>
        <v>800</v>
      </c>
    </row>
    <row r="80" spans="1:9" x14ac:dyDescent="0.25">
      <c r="A80" s="57" t="s">
        <v>208</v>
      </c>
      <c r="B80" s="56"/>
      <c r="C80" s="58" t="s">
        <v>68</v>
      </c>
      <c r="D80" s="59">
        <v>200</v>
      </c>
      <c r="E80" s="60" t="s">
        <v>67</v>
      </c>
      <c r="F80" s="60" t="s">
        <v>64</v>
      </c>
      <c r="G80" s="53" cm="1">
        <f t="array" ref="G80">_xlfn.IFS(RentalAssistance19[[#This Row],[Unit]]="Program-wide",((_xlfn.IFS(RentalAssistance19[[#This Row],[Frequency]]="Per Year",RentalAssistance19[[#This Row],[Cost]]/12,RentalAssistance19[[#This Row],[Frequency]]="Per month",RentalAssistance19[[#This Row],[Cost]],RentalAssistance19[[#This Row],[Frequency]]="Per day",RentalAssistance19[[#This Row],[Cost]]*30,RentalAssistance19[[#This Row],[Frequency]]="One-time",RentalAssistance19[[#This Row],[Cost]]/SUM($C$18,$C$19)))/$C$17),RentalAssistance19[[#This Row],[Unit]]="Per unit/space/household",(_xlfn.IFS(RentalAssistance19[[#This Row],[Frequency]]="Per Year",RentalAssistance19[[#This Row],[Cost]]/12,RentalAssistance19[[#This Row],[Frequency]]="Per month",RentalAssistance19[[#This Row],[Cost]],RentalAssistance19[[#This Row],[Frequency]]="Per day",RentalAssistance19[[#This Row],[Cost]]*30,RentalAssistance19[[#This Row],[Frequency]]="One-time",RentalAssistance19[[#This Row],[Cost]]/SUM($C$18,$C$19))))</f>
        <v>13.333333333333334</v>
      </c>
      <c r="H80" s="46">
        <f>RentalAssistance19[[#This Row],[Monthly Cost Per Unit]]*12</f>
        <v>160</v>
      </c>
    </row>
    <row r="81" spans="1:8" x14ac:dyDescent="0.25">
      <c r="A81" s="57" t="s">
        <v>215</v>
      </c>
      <c r="B81" s="56"/>
      <c r="C81" s="58" t="s">
        <v>63</v>
      </c>
      <c r="D81" s="59">
        <v>100</v>
      </c>
      <c r="E81" s="60" t="s">
        <v>65</v>
      </c>
      <c r="F81" s="60" t="s">
        <v>64</v>
      </c>
      <c r="G81" s="53" cm="1">
        <f t="array" ref="G81">_xlfn.IFS(RentalAssistance19[[#This Row],[Unit]]="Program-wide",((_xlfn.IFS(RentalAssistance19[[#This Row],[Frequency]]="Per Year",RentalAssistance19[[#This Row],[Cost]]/12,RentalAssistance19[[#This Row],[Frequency]]="Per month",RentalAssistance19[[#This Row],[Cost]],RentalAssistance19[[#This Row],[Frequency]]="Per day",RentalAssistance19[[#This Row],[Cost]]*30,RentalAssistance19[[#This Row],[Frequency]]="One-time",RentalAssistance19[[#This Row],[Cost]]/SUM($C$18,$C$19)))/$C$17),RentalAssistance19[[#This Row],[Unit]]="Per unit/space/household",(_xlfn.IFS(RentalAssistance19[[#This Row],[Frequency]]="Per Year",RentalAssistance19[[#This Row],[Cost]]/12,RentalAssistance19[[#This Row],[Frequency]]="Per month",RentalAssistance19[[#This Row],[Cost]],RentalAssistance19[[#This Row],[Frequency]]="Per day",RentalAssistance19[[#This Row],[Cost]]*30,RentalAssistance19[[#This Row],[Frequency]]="One-time",RentalAssistance19[[#This Row],[Cost]]/SUM($C$18,$C$19))))</f>
        <v>100</v>
      </c>
      <c r="H81" s="46">
        <f>RentalAssistance19[[#This Row],[Monthly Cost Per Unit]]*12</f>
        <v>1200</v>
      </c>
    </row>
    <row r="82" spans="1:8" x14ac:dyDescent="0.25">
      <c r="A82" s="57" t="s">
        <v>216</v>
      </c>
      <c r="B82" s="56"/>
      <c r="C82" s="58" t="s">
        <v>63</v>
      </c>
      <c r="D82" s="59">
        <v>500</v>
      </c>
      <c r="E82" s="60" t="s">
        <v>67</v>
      </c>
      <c r="F82" s="60" t="s">
        <v>64</v>
      </c>
      <c r="G82" s="53" cm="1">
        <f t="array" ref="G82">_xlfn.IFS(RentalAssistance19[[#This Row],[Unit]]="Program-wide",((_xlfn.IFS(RentalAssistance19[[#This Row],[Frequency]]="Per Year",RentalAssistance19[[#This Row],[Cost]]/12,RentalAssistance19[[#This Row],[Frequency]]="Per month",RentalAssistance19[[#This Row],[Cost]],RentalAssistance19[[#This Row],[Frequency]]="Per day",RentalAssistance19[[#This Row],[Cost]]*30,RentalAssistance19[[#This Row],[Frequency]]="One-time",RentalAssistance19[[#This Row],[Cost]]/SUM($C$18,$C$19)))/$C$17),RentalAssistance19[[#This Row],[Unit]]="Per unit/space/household",(_xlfn.IFS(RentalAssistance19[[#This Row],[Frequency]]="Per Year",RentalAssistance19[[#This Row],[Cost]]/12,RentalAssistance19[[#This Row],[Frequency]]="Per month",RentalAssistance19[[#This Row],[Cost]],RentalAssistance19[[#This Row],[Frequency]]="Per day",RentalAssistance19[[#This Row],[Cost]]*30,RentalAssistance19[[#This Row],[Frequency]]="One-time",RentalAssistance19[[#This Row],[Cost]]/SUM($C$18,$C$19))))</f>
        <v>33.333333333333336</v>
      </c>
      <c r="H82" s="46">
        <f>RentalAssistance19[[#This Row],[Monthly Cost Per Unit]]*12</f>
        <v>400</v>
      </c>
    </row>
    <row r="83" spans="1:8" x14ac:dyDescent="0.25">
      <c r="A83" s="57" t="s">
        <v>217</v>
      </c>
      <c r="B83" s="56"/>
      <c r="C83" s="58" t="s">
        <v>63</v>
      </c>
      <c r="D83" s="59">
        <v>1000</v>
      </c>
      <c r="E83" s="60" t="s">
        <v>67</v>
      </c>
      <c r="F83" s="60" t="s">
        <v>64</v>
      </c>
      <c r="G83" s="53" cm="1">
        <f t="array" ref="G83">_xlfn.IFS(RentalAssistance19[[#This Row],[Unit]]="Program-wide",((_xlfn.IFS(RentalAssistance19[[#This Row],[Frequency]]="Per Year",RentalAssistance19[[#This Row],[Cost]]/12,RentalAssistance19[[#This Row],[Frequency]]="Per month",RentalAssistance19[[#This Row],[Cost]],RentalAssistance19[[#This Row],[Frequency]]="Per day",RentalAssistance19[[#This Row],[Cost]]*30,RentalAssistance19[[#This Row],[Frequency]]="One-time",RentalAssistance19[[#This Row],[Cost]]/SUM($C$18,$C$19)))/$C$17),RentalAssistance19[[#This Row],[Unit]]="Per unit/space/household",(_xlfn.IFS(RentalAssistance19[[#This Row],[Frequency]]="Per Year",RentalAssistance19[[#This Row],[Cost]]/12,RentalAssistance19[[#This Row],[Frequency]]="Per month",RentalAssistance19[[#This Row],[Cost]],RentalAssistance19[[#This Row],[Frequency]]="Per day",RentalAssistance19[[#This Row],[Cost]]*30,RentalAssistance19[[#This Row],[Frequency]]="One-time",RentalAssistance19[[#This Row],[Cost]]/SUM($C$18,$C$19))))</f>
        <v>66.666666666666671</v>
      </c>
      <c r="H83" s="46">
        <f>RentalAssistance19[[#This Row],[Monthly Cost Per Unit]]*12</f>
        <v>800</v>
      </c>
    </row>
    <row r="84" spans="1:8" x14ac:dyDescent="0.25">
      <c r="A84" s="57"/>
      <c r="B84" s="56"/>
      <c r="C84" s="58"/>
      <c r="D84" s="59"/>
      <c r="E84" s="60"/>
      <c r="F84" s="60"/>
      <c r="G84" s="53" t="e" cm="1">
        <f t="array" ref="G84">_xlfn.IFS(RentalAssistance19[[#This Row],[Unit]]="Program-wide",((_xlfn.IFS(RentalAssistance19[[#This Row],[Frequency]]="Per Year",RentalAssistance19[[#This Row],[Cost]]/12,RentalAssistance19[[#This Row],[Frequency]]="Per month",RentalAssistance19[[#This Row],[Cost]],RentalAssistance19[[#This Row],[Frequency]]="Per day",RentalAssistance19[[#This Row],[Cost]]*30,RentalAssistance19[[#This Row],[Frequency]]="One-time",RentalAssistance19[[#This Row],[Cost]]/SUM($C$18,$C$19)))/$C$17),RentalAssistance19[[#This Row],[Unit]]="Per unit/space/household",(_xlfn.IFS(RentalAssistance19[[#This Row],[Frequency]]="Per Year",RentalAssistance19[[#This Row],[Cost]]/12,RentalAssistance19[[#This Row],[Frequency]]="Per month",RentalAssistance19[[#This Row],[Cost]],RentalAssistance19[[#This Row],[Frequency]]="Per day",RentalAssistance19[[#This Row],[Cost]]*30,RentalAssistance19[[#This Row],[Frequency]]="One-time",RentalAssistance19[[#This Row],[Cost]]/SUM($C$18,$C$19))))</f>
        <v>#N/A</v>
      </c>
      <c r="H84" s="46" t="e">
        <f>RentalAssistance19[[#This Row],[Monthly Cost Per Unit]]*12</f>
        <v>#N/A</v>
      </c>
    </row>
    <row r="85" spans="1:8" x14ac:dyDescent="0.25">
      <c r="A85" s="62"/>
      <c r="B85" s="61"/>
      <c r="C85" s="63"/>
      <c r="D85" s="64"/>
      <c r="E85" s="65"/>
      <c r="F85" s="65"/>
      <c r="G85" s="55" t="e" cm="1">
        <f t="array" ref="G85">_xlfn.IFS(RentalAssistance19[[#This Row],[Unit]]="Program-wide",((_xlfn.IFS(RentalAssistance19[[#This Row],[Frequency]]="Per Year",RentalAssistance19[[#This Row],[Cost]]/12,RentalAssistance19[[#This Row],[Frequency]]="Per month",RentalAssistance19[[#This Row],[Cost]],RentalAssistance19[[#This Row],[Frequency]]="Per day",RentalAssistance19[[#This Row],[Cost]]*30,RentalAssistance19[[#This Row],[Frequency]]="One-time",RentalAssistance19[[#This Row],[Cost]]/SUM($C$18,$C$19)))/$C$17),RentalAssistance19[[#This Row],[Unit]]="Per unit/space/household",(_xlfn.IFS(RentalAssistance19[[#This Row],[Frequency]]="Per Year",RentalAssistance19[[#This Row],[Cost]]/12,RentalAssistance19[[#This Row],[Frequency]]="Per month",RentalAssistance19[[#This Row],[Cost]],RentalAssistance19[[#This Row],[Frequency]]="Per day",RentalAssistance19[[#This Row],[Cost]]*30,RentalAssistance19[[#This Row],[Frequency]]="One-time",RentalAssistance19[[#This Row],[Cost]]/SUM($C$18,$C$19))))</f>
        <v>#N/A</v>
      </c>
      <c r="H85" s="46" t="e">
        <f>RentalAssistance19[[#This Row],[Monthly Cost Per Unit]]*12</f>
        <v>#N/A</v>
      </c>
    </row>
    <row r="86" spans="1:8" x14ac:dyDescent="0.25">
      <c r="A86" s="38" t="s">
        <v>20</v>
      </c>
      <c r="B86" s="38"/>
      <c r="C86" s="41" t="s">
        <v>68</v>
      </c>
      <c r="D86" s="37"/>
      <c r="E86" s="41"/>
      <c r="F86" s="41"/>
      <c r="G86" s="52"/>
      <c r="H86" s="48">
        <f>(SUMIF(RentalAssistance19[Duration],"While homeless only",RentalAssistance19[Monthly Cost Per Unit]))*12</f>
        <v>160</v>
      </c>
    </row>
    <row r="87" spans="1:8" x14ac:dyDescent="0.25">
      <c r="A87" s="26"/>
      <c r="B87" s="26"/>
      <c r="C87" s="41" t="s">
        <v>63</v>
      </c>
      <c r="D87" s="37"/>
      <c r="E87" s="41"/>
      <c r="F87" s="41"/>
      <c r="G87" s="48"/>
      <c r="H87" s="48">
        <f>(SUMIF(RentalAssistance19[Duration],"While housed only",RentalAssistance19[Monthly Cost Per Unit]))*12</f>
        <v>16320</v>
      </c>
    </row>
    <row r="88" spans="1:8" x14ac:dyDescent="0.25">
      <c r="A88" s="26"/>
      <c r="B88" s="26"/>
      <c r="C88" s="41" t="s">
        <v>58</v>
      </c>
      <c r="D88" s="37"/>
      <c r="E88" s="41"/>
      <c r="F88" s="41"/>
      <c r="G88" s="48"/>
      <c r="H88" s="48">
        <f>(SUMIF(RentalAssistance19[Duration],"Homeless &amp; housed",RentalAssistance19[Monthly Cost Per Unit]))*12</f>
        <v>0</v>
      </c>
    </row>
    <row r="89" spans="1:8" ht="15.75" thickBot="1" x14ac:dyDescent="0.3">
      <c r="A89" s="26"/>
      <c r="B89" s="26"/>
      <c r="C89" s="42" t="s">
        <v>207</v>
      </c>
      <c r="D89" s="24"/>
      <c r="E89" s="42"/>
      <c r="F89" s="42"/>
      <c r="G89" s="50"/>
      <c r="H89" s="50">
        <f>(SUMIF(RentalAssistance19[Duration],"N/A",RentalAssistance19[Monthly Cost Per Unit]))*12</f>
        <v>0</v>
      </c>
    </row>
    <row r="90" spans="1:8" ht="16.5" thickTop="1" thickBot="1" x14ac:dyDescent="0.3">
      <c r="A90" s="27"/>
      <c r="B90" s="27"/>
      <c r="C90" s="42" t="s">
        <v>42</v>
      </c>
      <c r="D90" s="24"/>
      <c r="E90" s="42"/>
      <c r="F90" s="42"/>
      <c r="G90" s="50"/>
      <c r="H90" s="50">
        <f>SUM(H86:H89)</f>
        <v>16480</v>
      </c>
    </row>
    <row r="91" spans="1:8" ht="15.75" thickTop="1" x14ac:dyDescent="0.25">
      <c r="A91" s="19"/>
      <c r="B91" s="20"/>
      <c r="C91" s="20"/>
      <c r="D91" s="20"/>
      <c r="E91" s="20"/>
      <c r="F91" s="21"/>
      <c r="G91"/>
      <c r="H91" s="2"/>
    </row>
    <row r="92" spans="1:8" x14ac:dyDescent="0.25">
      <c r="A92" s="274" t="s">
        <v>88</v>
      </c>
      <c r="B92" s="274"/>
      <c r="C92" s="274"/>
      <c r="D92" s="274"/>
      <c r="E92" s="274"/>
      <c r="F92" s="274"/>
      <c r="G92" s="274"/>
      <c r="H92" s="274"/>
    </row>
    <row r="93" spans="1:8" ht="32.25" customHeight="1" outlineLevel="1" x14ac:dyDescent="0.25">
      <c r="A93" s="294" t="s">
        <v>192</v>
      </c>
      <c r="B93" s="294"/>
      <c r="C93" s="294"/>
      <c r="D93" s="294"/>
      <c r="E93" s="294"/>
      <c r="F93" s="294"/>
      <c r="G93" s="294"/>
      <c r="H93" s="294"/>
    </row>
    <row r="94" spans="1:8" ht="30" x14ac:dyDescent="0.25">
      <c r="A94" s="13" t="s">
        <v>51</v>
      </c>
      <c r="B94" s="13" t="s">
        <v>52</v>
      </c>
      <c r="C94" s="13" t="s">
        <v>53</v>
      </c>
      <c r="D94" s="13" t="s">
        <v>54</v>
      </c>
      <c r="E94" s="13" t="s">
        <v>55</v>
      </c>
      <c r="F94" s="13" t="s">
        <v>56</v>
      </c>
      <c r="G94" s="13" t="s">
        <v>57</v>
      </c>
      <c r="H94" s="45" t="s">
        <v>20</v>
      </c>
    </row>
    <row r="95" spans="1:8" x14ac:dyDescent="0.25">
      <c r="A95" s="57" t="s">
        <v>202</v>
      </c>
      <c r="B95" s="56" t="s">
        <v>203</v>
      </c>
      <c r="C95" s="58" t="s">
        <v>58</v>
      </c>
      <c r="D95" s="59">
        <v>75000</v>
      </c>
      <c r="E95" s="60" t="s">
        <v>59</v>
      </c>
      <c r="F95" s="57" t="s">
        <v>60</v>
      </c>
      <c r="G95" s="53" cm="1">
        <f t="array" ref="G95">_xlfn.IFS(Services110[[#This Row],[Unit]]="Program-wide",((_xlfn.IFS(Services110[[#This Row],[Frequency]]="Per Year",Services110[[#This Row],[Cost]]/12,Services110[[#This Row],[Frequency]]="Per month",Services110[[#This Row],[Cost]],Services110[[#This Row],[Frequency]]="Per day",Services110[[#This Row],[Cost]]*30,Services110[[#This Row],[Frequency]]="One-time",Services110[[#This Row],[Cost]]/SUM($C$18,$C$19)))/$C$17),Services110[[#This Row],[Unit]]="Per unit/space/household",(_xlfn.IFS(Services110[[#This Row],[Frequency]]="Per Year",Services110[[#This Row],[Cost]]/12,Services110[[#This Row],[Frequency]]="Per month",Services110[[#This Row],[Cost]],Services110[[#This Row],[Frequency]]="Per day",Services110[[#This Row],[Cost]]*30,Services110[[#This Row],[Frequency]]="One-time",Services110[[#This Row],[Cost]]/SUM($C$18,$C$19))))</f>
        <v>208.33333333333334</v>
      </c>
      <c r="H95" s="46">
        <f>Services110[[#This Row],[Monthly Cost Per Unit]]*12</f>
        <v>2500</v>
      </c>
    </row>
    <row r="96" spans="1:8" x14ac:dyDescent="0.25">
      <c r="A96" s="57" t="s">
        <v>218</v>
      </c>
      <c r="B96" s="56"/>
      <c r="C96" s="58" t="s">
        <v>58</v>
      </c>
      <c r="D96" s="59">
        <v>200</v>
      </c>
      <c r="E96" s="60" t="s">
        <v>65</v>
      </c>
      <c r="F96" s="57" t="s">
        <v>64</v>
      </c>
      <c r="G96" s="53" cm="1">
        <f t="array" ref="G96">_xlfn.IFS(Services110[[#This Row],[Unit]]="Program-wide",((_xlfn.IFS(Services110[[#This Row],[Frequency]]="Per Year",Services110[[#This Row],[Cost]]/12,Services110[[#This Row],[Frequency]]="Per month",Services110[[#This Row],[Cost]],Services110[[#This Row],[Frequency]]="Per day",Services110[[#This Row],[Cost]]*30,Services110[[#This Row],[Frequency]]="One-time",Services110[[#This Row],[Cost]]/SUM($C$18,$C$19)))/$C$17),Services110[[#This Row],[Unit]]="Per unit/space/household",(_xlfn.IFS(Services110[[#This Row],[Frequency]]="Per Year",Services110[[#This Row],[Cost]]/12,Services110[[#This Row],[Frequency]]="Per month",Services110[[#This Row],[Cost]],Services110[[#This Row],[Frequency]]="Per day",Services110[[#This Row],[Cost]]*30,Services110[[#This Row],[Frequency]]="One-time",Services110[[#This Row],[Cost]]/SUM($C$18,$C$19))))</f>
        <v>200</v>
      </c>
      <c r="H96" s="46">
        <f>Services110[[#This Row],[Monthly Cost Per Unit]]*12</f>
        <v>2400</v>
      </c>
    </row>
    <row r="97" spans="1:8" x14ac:dyDescent="0.25">
      <c r="A97" s="57" t="s">
        <v>219</v>
      </c>
      <c r="B97" s="56"/>
      <c r="C97" s="58" t="s">
        <v>68</v>
      </c>
      <c r="D97" s="59">
        <v>200</v>
      </c>
      <c r="E97" s="60" t="s">
        <v>67</v>
      </c>
      <c r="F97" s="57" t="s">
        <v>64</v>
      </c>
      <c r="G97" s="53" cm="1">
        <f t="array" ref="G97">_xlfn.IFS(Services110[[#This Row],[Unit]]="Program-wide",((_xlfn.IFS(Services110[[#This Row],[Frequency]]="Per Year",Services110[[#This Row],[Cost]]/12,Services110[[#This Row],[Frequency]]="Per month",Services110[[#This Row],[Cost]],Services110[[#This Row],[Frequency]]="Per day",Services110[[#This Row],[Cost]]*30,Services110[[#This Row],[Frequency]]="One-time",Services110[[#This Row],[Cost]]/SUM($C$18,$C$19)))/$C$17),Services110[[#This Row],[Unit]]="Per unit/space/household",(_xlfn.IFS(Services110[[#This Row],[Frequency]]="Per Year",Services110[[#This Row],[Cost]]/12,Services110[[#This Row],[Frequency]]="Per month",Services110[[#This Row],[Cost]],Services110[[#This Row],[Frequency]]="Per day",Services110[[#This Row],[Cost]]*30,Services110[[#This Row],[Frequency]]="One-time",Services110[[#This Row],[Cost]]/SUM($C$18,$C$19))))</f>
        <v>13.333333333333334</v>
      </c>
      <c r="H97" s="46">
        <f>Services110[[#This Row],[Monthly Cost Per Unit]]*12</f>
        <v>160</v>
      </c>
    </row>
    <row r="98" spans="1:8" x14ac:dyDescent="0.25">
      <c r="A98" s="57" t="s">
        <v>220</v>
      </c>
      <c r="B98" s="56"/>
      <c r="C98" s="58" t="s">
        <v>58</v>
      </c>
      <c r="D98" s="59">
        <v>2000</v>
      </c>
      <c r="E98" s="60" t="s">
        <v>65</v>
      </c>
      <c r="F98" s="57" t="s">
        <v>60</v>
      </c>
      <c r="G98" s="53" cm="1">
        <f t="array" ref="G98">_xlfn.IFS(Services110[[#This Row],[Unit]]="Program-wide",((_xlfn.IFS(Services110[[#This Row],[Frequency]]="Per Year",Services110[[#This Row],[Cost]]/12,Services110[[#This Row],[Frequency]]="Per month",Services110[[#This Row],[Cost]],Services110[[#This Row],[Frequency]]="Per day",Services110[[#This Row],[Cost]]*30,Services110[[#This Row],[Frequency]]="One-time",Services110[[#This Row],[Cost]]/SUM($C$18,$C$19)))/$C$17),Services110[[#This Row],[Unit]]="Per unit/space/household",(_xlfn.IFS(Services110[[#This Row],[Frequency]]="Per Year",Services110[[#This Row],[Cost]]/12,Services110[[#This Row],[Frequency]]="Per month",Services110[[#This Row],[Cost]],Services110[[#This Row],[Frequency]]="Per day",Services110[[#This Row],[Cost]]*30,Services110[[#This Row],[Frequency]]="One-time",Services110[[#This Row],[Cost]]/SUM($C$18,$C$19))))</f>
        <v>66.666666666666671</v>
      </c>
      <c r="H98" s="46">
        <f>Services110[[#This Row],[Monthly Cost Per Unit]]*12</f>
        <v>800</v>
      </c>
    </row>
    <row r="99" spans="1:8" x14ac:dyDescent="0.25">
      <c r="A99" s="57" t="s">
        <v>221</v>
      </c>
      <c r="B99" s="56"/>
      <c r="C99" s="58" t="s">
        <v>58</v>
      </c>
      <c r="D99" s="59">
        <v>1000</v>
      </c>
      <c r="E99" s="60" t="s">
        <v>65</v>
      </c>
      <c r="F99" s="57" t="s">
        <v>60</v>
      </c>
      <c r="G99" s="53" cm="1">
        <f t="array" ref="G99">_xlfn.IFS(Services110[[#This Row],[Unit]]="Program-wide",((_xlfn.IFS(Services110[[#This Row],[Frequency]]="Per Year",Services110[[#This Row],[Cost]]/12,Services110[[#This Row],[Frequency]]="Per month",Services110[[#This Row],[Cost]],Services110[[#This Row],[Frequency]]="Per day",Services110[[#This Row],[Cost]]*30,Services110[[#This Row],[Frequency]]="One-time",Services110[[#This Row],[Cost]]/SUM($C$18,$C$19)))/$C$17),Services110[[#This Row],[Unit]]="Per unit/space/household",(_xlfn.IFS(Services110[[#This Row],[Frequency]]="Per Year",Services110[[#This Row],[Cost]]/12,Services110[[#This Row],[Frequency]]="Per month",Services110[[#This Row],[Cost]],Services110[[#This Row],[Frequency]]="Per day",Services110[[#This Row],[Cost]]*30,Services110[[#This Row],[Frequency]]="One-time",Services110[[#This Row],[Cost]]/SUM($C$18,$C$19))))</f>
        <v>33.333333333333336</v>
      </c>
      <c r="H99" s="46">
        <f>Services110[[#This Row],[Monthly Cost Per Unit]]*12</f>
        <v>400</v>
      </c>
    </row>
    <row r="100" spans="1:8" x14ac:dyDescent="0.25">
      <c r="A100" s="57" t="s">
        <v>222</v>
      </c>
      <c r="B100" s="56"/>
      <c r="C100" s="58" t="s">
        <v>58</v>
      </c>
      <c r="D100" s="59">
        <v>1000</v>
      </c>
      <c r="E100" s="60" t="s">
        <v>65</v>
      </c>
      <c r="F100" s="57" t="s">
        <v>60</v>
      </c>
      <c r="G100" s="53" cm="1">
        <f t="array" ref="G100">_xlfn.IFS(Services110[[#This Row],[Unit]]="Program-wide",((_xlfn.IFS(Services110[[#This Row],[Frequency]]="Per Year",Services110[[#This Row],[Cost]]/12,Services110[[#This Row],[Frequency]]="Per month",Services110[[#This Row],[Cost]],Services110[[#This Row],[Frequency]]="Per day",Services110[[#This Row],[Cost]]*30,Services110[[#This Row],[Frequency]]="One-time",Services110[[#This Row],[Cost]]/SUM($C$18,$C$19)))/$C$17),Services110[[#This Row],[Unit]]="Per unit/space/household",(_xlfn.IFS(Services110[[#This Row],[Frequency]]="Per Year",Services110[[#This Row],[Cost]]/12,Services110[[#This Row],[Frequency]]="Per month",Services110[[#This Row],[Cost]],Services110[[#This Row],[Frequency]]="Per day",Services110[[#This Row],[Cost]]*30,Services110[[#This Row],[Frequency]]="One-time",Services110[[#This Row],[Cost]]/SUM($C$18,$C$19))))</f>
        <v>33.333333333333336</v>
      </c>
      <c r="H100" s="46">
        <f>Services110[[#This Row],[Monthly Cost Per Unit]]*12</f>
        <v>400</v>
      </c>
    </row>
    <row r="101" spans="1:8" x14ac:dyDescent="0.25">
      <c r="A101" s="57" t="s">
        <v>223</v>
      </c>
      <c r="B101" s="56"/>
      <c r="C101" s="58" t="s">
        <v>58</v>
      </c>
      <c r="D101" s="59">
        <v>200</v>
      </c>
      <c r="E101" s="60" t="s">
        <v>65</v>
      </c>
      <c r="F101" s="57" t="s">
        <v>64</v>
      </c>
      <c r="G101" s="53" cm="1">
        <f t="array" ref="G101">_xlfn.IFS(Services110[[#This Row],[Unit]]="Program-wide",((_xlfn.IFS(Services110[[#This Row],[Frequency]]="Per Year",Services110[[#This Row],[Cost]]/12,Services110[[#This Row],[Frequency]]="Per month",Services110[[#This Row],[Cost]],Services110[[#This Row],[Frequency]]="Per day",Services110[[#This Row],[Cost]]*30,Services110[[#This Row],[Frequency]]="One-time",Services110[[#This Row],[Cost]]/SUM($C$18,$C$19)))/$C$17),Services110[[#This Row],[Unit]]="Per unit/space/household",(_xlfn.IFS(Services110[[#This Row],[Frequency]]="Per Year",Services110[[#This Row],[Cost]]/12,Services110[[#This Row],[Frequency]]="Per month",Services110[[#This Row],[Cost]],Services110[[#This Row],[Frequency]]="Per day",Services110[[#This Row],[Cost]]*30,Services110[[#This Row],[Frequency]]="One-time",Services110[[#This Row],[Cost]]/SUM($C$18,$C$19))))</f>
        <v>200</v>
      </c>
      <c r="H101" s="46">
        <f>Services110[[#This Row],[Monthly Cost Per Unit]]*12</f>
        <v>2400</v>
      </c>
    </row>
    <row r="102" spans="1:8" x14ac:dyDescent="0.25">
      <c r="A102" s="57" t="s">
        <v>224</v>
      </c>
      <c r="B102" s="56"/>
      <c r="C102" s="58" t="s">
        <v>58</v>
      </c>
      <c r="D102" s="59">
        <v>2000</v>
      </c>
      <c r="E102" s="60" t="s">
        <v>65</v>
      </c>
      <c r="F102" s="57" t="s">
        <v>60</v>
      </c>
      <c r="G102" s="53" cm="1">
        <f t="array" ref="G102">_xlfn.IFS(Services110[[#This Row],[Unit]]="Program-wide",((_xlfn.IFS(Services110[[#This Row],[Frequency]]="Per Year",Services110[[#This Row],[Cost]]/12,Services110[[#This Row],[Frequency]]="Per month",Services110[[#This Row],[Cost]],Services110[[#This Row],[Frequency]]="Per day",Services110[[#This Row],[Cost]]*30,Services110[[#This Row],[Frequency]]="One-time",Services110[[#This Row],[Cost]]/SUM($C$18,$C$19)))/$C$17),Services110[[#This Row],[Unit]]="Per unit/space/household",(_xlfn.IFS(Services110[[#This Row],[Frequency]]="Per Year",Services110[[#This Row],[Cost]]/12,Services110[[#This Row],[Frequency]]="Per month",Services110[[#This Row],[Cost]],Services110[[#This Row],[Frequency]]="Per day",Services110[[#This Row],[Cost]]*30,Services110[[#This Row],[Frequency]]="One-time",Services110[[#This Row],[Cost]]/SUM($C$18,$C$19))))</f>
        <v>66.666666666666671</v>
      </c>
      <c r="H102" s="46">
        <f>Services110[[#This Row],[Monthly Cost Per Unit]]*12</f>
        <v>800</v>
      </c>
    </row>
    <row r="103" spans="1:8" x14ac:dyDescent="0.25">
      <c r="A103" s="57" t="s">
        <v>225</v>
      </c>
      <c r="B103" s="56"/>
      <c r="C103" s="58" t="s">
        <v>58</v>
      </c>
      <c r="D103" s="59">
        <v>1000</v>
      </c>
      <c r="E103" s="60" t="s">
        <v>65</v>
      </c>
      <c r="F103" s="57" t="s">
        <v>60</v>
      </c>
      <c r="G103" s="53" cm="1">
        <f t="array" ref="G103">_xlfn.IFS(Services110[[#This Row],[Unit]]="Program-wide",((_xlfn.IFS(Services110[[#This Row],[Frequency]]="Per Year",Services110[[#This Row],[Cost]]/12,Services110[[#This Row],[Frequency]]="Per month",Services110[[#This Row],[Cost]],Services110[[#This Row],[Frequency]]="Per day",Services110[[#This Row],[Cost]]*30,Services110[[#This Row],[Frequency]]="One-time",Services110[[#This Row],[Cost]]/SUM($C$18,$C$19)))/$C$17),Services110[[#This Row],[Unit]]="Per unit/space/household",(_xlfn.IFS(Services110[[#This Row],[Frequency]]="Per Year",Services110[[#This Row],[Cost]]/12,Services110[[#This Row],[Frequency]]="Per month",Services110[[#This Row],[Cost]],Services110[[#This Row],[Frequency]]="Per day",Services110[[#This Row],[Cost]]*30,Services110[[#This Row],[Frequency]]="One-time",Services110[[#This Row],[Cost]]/SUM($C$18,$C$19))))</f>
        <v>33.333333333333336</v>
      </c>
      <c r="H103" s="46">
        <f>Services110[[#This Row],[Monthly Cost Per Unit]]*12</f>
        <v>400</v>
      </c>
    </row>
    <row r="104" spans="1:8" x14ac:dyDescent="0.25">
      <c r="A104" s="57" t="s">
        <v>226</v>
      </c>
      <c r="B104" s="56"/>
      <c r="C104" s="58" t="s">
        <v>58</v>
      </c>
      <c r="D104" s="59">
        <v>200</v>
      </c>
      <c r="E104" s="60" t="s">
        <v>65</v>
      </c>
      <c r="F104" s="57" t="s">
        <v>64</v>
      </c>
      <c r="G104" s="53" cm="1">
        <f t="array" ref="G104">_xlfn.IFS(Services110[[#This Row],[Unit]]="Program-wide",((_xlfn.IFS(Services110[[#This Row],[Frequency]]="Per Year",Services110[[#This Row],[Cost]]/12,Services110[[#This Row],[Frequency]]="Per month",Services110[[#This Row],[Cost]],Services110[[#This Row],[Frequency]]="Per day",Services110[[#This Row],[Cost]]*30,Services110[[#This Row],[Frequency]]="One-time",Services110[[#This Row],[Cost]]/SUM($C$18,$C$19)))/$C$17),Services110[[#This Row],[Unit]]="Per unit/space/household",(_xlfn.IFS(Services110[[#This Row],[Frequency]]="Per Year",Services110[[#This Row],[Cost]]/12,Services110[[#This Row],[Frequency]]="Per month",Services110[[#This Row],[Cost]],Services110[[#This Row],[Frequency]]="Per day",Services110[[#This Row],[Cost]]*30,Services110[[#This Row],[Frequency]]="One-time",Services110[[#This Row],[Cost]]/SUM($C$18,$C$19))))</f>
        <v>200</v>
      </c>
      <c r="H104" s="46">
        <f>Services110[[#This Row],[Monthly Cost Per Unit]]*12</f>
        <v>2400</v>
      </c>
    </row>
    <row r="105" spans="1:8" x14ac:dyDescent="0.25">
      <c r="A105" s="57" t="s">
        <v>227</v>
      </c>
      <c r="B105" s="56"/>
      <c r="C105" s="58" t="s">
        <v>58</v>
      </c>
      <c r="D105" s="59">
        <v>100</v>
      </c>
      <c r="E105" s="60" t="s">
        <v>65</v>
      </c>
      <c r="F105" s="57" t="s">
        <v>64</v>
      </c>
      <c r="G105" s="53" cm="1">
        <f t="array" ref="G105">_xlfn.IFS(Services110[[#This Row],[Unit]]="Program-wide",((_xlfn.IFS(Services110[[#This Row],[Frequency]]="Per Year",Services110[[#This Row],[Cost]]/12,Services110[[#This Row],[Frequency]]="Per month",Services110[[#This Row],[Cost]],Services110[[#This Row],[Frequency]]="Per day",Services110[[#This Row],[Cost]]*30,Services110[[#This Row],[Frequency]]="One-time",Services110[[#This Row],[Cost]]/SUM($C$18,$C$19)))/$C$17),Services110[[#This Row],[Unit]]="Per unit/space/household",(_xlfn.IFS(Services110[[#This Row],[Frequency]]="Per Year",Services110[[#This Row],[Cost]]/12,Services110[[#This Row],[Frequency]]="Per month",Services110[[#This Row],[Cost]],Services110[[#This Row],[Frequency]]="Per day",Services110[[#This Row],[Cost]]*30,Services110[[#This Row],[Frequency]]="One-time",Services110[[#This Row],[Cost]]/SUM($C$18,$C$19))))</f>
        <v>100</v>
      </c>
      <c r="H105" s="46">
        <f>Services110[[#This Row],[Monthly Cost Per Unit]]*12</f>
        <v>1200</v>
      </c>
    </row>
    <row r="106" spans="1:8" x14ac:dyDescent="0.25">
      <c r="A106" s="57" t="s">
        <v>228</v>
      </c>
      <c r="B106" s="56"/>
      <c r="C106" s="58" t="s">
        <v>58</v>
      </c>
      <c r="D106" s="59">
        <v>500</v>
      </c>
      <c r="E106" s="60" t="s">
        <v>65</v>
      </c>
      <c r="F106" s="57" t="s">
        <v>64</v>
      </c>
      <c r="G106" s="53" cm="1">
        <f t="array" ref="G106">_xlfn.IFS(Services110[[#This Row],[Unit]]="Program-wide",((_xlfn.IFS(Services110[[#This Row],[Frequency]]="Per Year",Services110[[#This Row],[Cost]]/12,Services110[[#This Row],[Frequency]]="Per month",Services110[[#This Row],[Cost]],Services110[[#This Row],[Frequency]]="Per day",Services110[[#This Row],[Cost]]*30,Services110[[#This Row],[Frequency]]="One-time",Services110[[#This Row],[Cost]]/SUM($C$18,$C$19)))/$C$17),Services110[[#This Row],[Unit]]="Per unit/space/household",(_xlfn.IFS(Services110[[#This Row],[Frequency]]="Per Year",Services110[[#This Row],[Cost]]/12,Services110[[#This Row],[Frequency]]="Per month",Services110[[#This Row],[Cost]],Services110[[#This Row],[Frequency]]="Per day",Services110[[#This Row],[Cost]]*30,Services110[[#This Row],[Frequency]]="One-time",Services110[[#This Row],[Cost]]/SUM($C$18,$C$19))))</f>
        <v>500</v>
      </c>
      <c r="H106" s="46">
        <f>Services110[[#This Row],[Monthly Cost Per Unit]]*12</f>
        <v>6000</v>
      </c>
    </row>
    <row r="107" spans="1:8" x14ac:dyDescent="0.25">
      <c r="A107" s="62"/>
      <c r="B107" s="61"/>
      <c r="C107" s="63"/>
      <c r="D107" s="64"/>
      <c r="E107" s="65"/>
      <c r="F107" s="62"/>
      <c r="G107" s="55" t="e" cm="1">
        <f t="array" ref="G107">_xlfn.IFS(Services110[[#This Row],[Unit]]="Program-wide",((_xlfn.IFS(Services110[[#This Row],[Frequency]]="Per Year",Services110[[#This Row],[Cost]]/12,Services110[[#This Row],[Frequency]]="Per month",Services110[[#This Row],[Cost]],Services110[[#This Row],[Frequency]]="Per day",Services110[[#This Row],[Cost]]*30,Services110[[#This Row],[Frequency]]="One-time",Services110[[#This Row],[Cost]]/SUM($C$18,$C$19)))/$C$17),Services110[[#This Row],[Unit]]="Per unit/space/household",(_xlfn.IFS(Services110[[#This Row],[Frequency]]="Per Year",Services110[[#This Row],[Cost]]/12,Services110[[#This Row],[Frequency]]="Per month",Services110[[#This Row],[Cost]],Services110[[#This Row],[Frequency]]="Per day",Services110[[#This Row],[Cost]]*30,Services110[[#This Row],[Frequency]]="One-time",Services110[[#This Row],[Cost]]/SUM($C$18,$C$19))))</f>
        <v>#N/A</v>
      </c>
      <c r="H107" s="46" t="e">
        <f>Services110[[#This Row],[Monthly Cost Per Unit]]*12</f>
        <v>#N/A</v>
      </c>
    </row>
    <row r="108" spans="1:8" x14ac:dyDescent="0.25">
      <c r="A108" s="38" t="s">
        <v>20</v>
      </c>
      <c r="B108" s="38"/>
      <c r="C108" s="41" t="s">
        <v>68</v>
      </c>
      <c r="D108" s="37"/>
      <c r="E108" s="41"/>
      <c r="F108" s="41"/>
      <c r="G108" s="52"/>
      <c r="H108" s="48">
        <f>(SUMIF(Services110[Duration],"While homeless only",Services110[Monthly Cost Per Unit]))*12</f>
        <v>160</v>
      </c>
    </row>
    <row r="109" spans="1:8" x14ac:dyDescent="0.25">
      <c r="A109" s="26"/>
      <c r="B109" s="26"/>
      <c r="C109" s="41" t="s">
        <v>63</v>
      </c>
      <c r="D109" s="37"/>
      <c r="E109" s="41"/>
      <c r="F109" s="41"/>
      <c r="G109" s="48"/>
      <c r="H109" s="48">
        <f>(SUMIF(Services110[Duration],"While housed only",Services110[Monthly Cost Per Unit]))*12</f>
        <v>0</v>
      </c>
    </row>
    <row r="110" spans="1:8" x14ac:dyDescent="0.25">
      <c r="A110" s="26"/>
      <c r="B110" s="26"/>
      <c r="C110" s="41" t="s">
        <v>58</v>
      </c>
      <c r="D110" s="37"/>
      <c r="E110" s="41"/>
      <c r="F110" s="41"/>
      <c r="G110" s="48"/>
      <c r="H110" s="48">
        <f>(SUMIF(Services110[Duration],"Homeless &amp; housed",Services110[Monthly Cost Per Unit]))*12</f>
        <v>19700</v>
      </c>
    </row>
    <row r="111" spans="1:8" ht="15.75" thickBot="1" x14ac:dyDescent="0.3">
      <c r="A111" s="26"/>
      <c r="B111" s="26"/>
      <c r="C111" s="42" t="s">
        <v>207</v>
      </c>
      <c r="D111" s="24"/>
      <c r="E111" s="42"/>
      <c r="F111" s="42"/>
      <c r="G111" s="50"/>
      <c r="H111" s="50">
        <f>(SUMIF(Services110[Duration],"N/A",Services110[Monthly Cost Per Unit]))*12</f>
        <v>0</v>
      </c>
    </row>
    <row r="112" spans="1:8" ht="16.5" thickTop="1" thickBot="1" x14ac:dyDescent="0.3">
      <c r="A112" s="27"/>
      <c r="B112" s="27"/>
      <c r="C112" s="42" t="s">
        <v>42</v>
      </c>
      <c r="D112" s="24"/>
      <c r="E112" s="42"/>
      <c r="F112" s="42"/>
      <c r="G112" s="50"/>
      <c r="H112" s="50">
        <f>SUM(H108:H111)</f>
        <v>19860</v>
      </c>
    </row>
    <row r="113" spans="1:9" ht="15.75" thickTop="1" x14ac:dyDescent="0.25">
      <c r="A113"/>
      <c r="F113"/>
      <c r="G113"/>
      <c r="H113" s="2"/>
    </row>
    <row r="114" spans="1:9" x14ac:dyDescent="0.25">
      <c r="A114" s="274" t="s">
        <v>90</v>
      </c>
      <c r="B114" s="274"/>
      <c r="C114" s="274"/>
      <c r="D114" s="274"/>
      <c r="E114" s="274"/>
      <c r="F114" s="274"/>
      <c r="G114" s="274"/>
      <c r="H114" s="274"/>
    </row>
    <row r="115" spans="1:9" ht="33" customHeight="1" outlineLevel="1" x14ac:dyDescent="0.25">
      <c r="A115" s="294" t="s">
        <v>193</v>
      </c>
      <c r="B115" s="294"/>
      <c r="C115" s="294"/>
      <c r="D115" s="294"/>
      <c r="E115" s="294"/>
      <c r="F115" s="294"/>
      <c r="G115" s="294"/>
      <c r="H115" s="294"/>
    </row>
    <row r="116" spans="1:9" s="3" customFormat="1" ht="28.35" customHeight="1" x14ac:dyDescent="0.25">
      <c r="A116" s="13" t="s">
        <v>51</v>
      </c>
      <c r="B116" s="13" t="s">
        <v>52</v>
      </c>
      <c r="C116" s="13" t="s">
        <v>53</v>
      </c>
      <c r="D116" s="13" t="s">
        <v>54</v>
      </c>
      <c r="E116" s="13" t="s">
        <v>55</v>
      </c>
      <c r="F116" s="13" t="s">
        <v>56</v>
      </c>
      <c r="G116" s="13" t="s">
        <v>57</v>
      </c>
      <c r="H116" s="45" t="s">
        <v>20</v>
      </c>
    </row>
    <row r="117" spans="1:9" x14ac:dyDescent="0.25">
      <c r="A117" s="57"/>
      <c r="B117" s="56"/>
      <c r="C117" s="58"/>
      <c r="D117" s="59"/>
      <c r="E117" s="60"/>
      <c r="F117" s="60"/>
      <c r="G117" s="53" t="e" cm="1">
        <f t="array" ref="G117">_xlfn.IFS(Other111[[#This Row],[Unit]]="Program-wide",((_xlfn.IFS(Other111[[#This Row],[Frequency]]="Per Year",Other111[[#This Row],[Cost]]/12,Other111[[#This Row],[Frequency]]="Per month",Other111[[#This Row],[Cost]],Other111[[#This Row],[Frequency]]="Per day",Other111[[#This Row],[Cost]]*30,Other111[[#This Row],[Frequency]]="One-time",Other111[[#This Row],[Cost]]/SUM($C$18,$C$19)))/$C$17),Other111[[#This Row],[Unit]]="Per unit/space/household",(_xlfn.IFS(Other111[[#This Row],[Frequency]]="Per Year",Other111[[#This Row],[Cost]]/12,Other111[[#This Row],[Frequency]]="Per month",Other111[[#This Row],[Cost]],Other111[[#This Row],[Frequency]]="Per day",Other111[[#This Row],[Cost]]*30,Other111[[#This Row],[Frequency]]="One-time",Other111[[#This Row],[Cost]]/SUM($C$18,$C$19))))</f>
        <v>#N/A</v>
      </c>
      <c r="H117" s="46" t="e">
        <f>Other111[[#This Row],[Monthly Cost Per Unit]]*12</f>
        <v>#N/A</v>
      </c>
    </row>
    <row r="118" spans="1:9" x14ac:dyDescent="0.25">
      <c r="A118" s="57"/>
      <c r="B118" s="56"/>
      <c r="C118" s="58"/>
      <c r="D118" s="59"/>
      <c r="E118" s="60"/>
      <c r="F118" s="60"/>
      <c r="G118" s="53" t="e" cm="1">
        <f t="array" ref="G118">_xlfn.IFS(Other111[[#This Row],[Unit]]="Program-wide",((_xlfn.IFS(Other111[[#This Row],[Frequency]]="Per Year",Other111[[#This Row],[Cost]]/12,Other111[[#This Row],[Frequency]]="Per month",Other111[[#This Row],[Cost]],Other111[[#This Row],[Frequency]]="Per day",Other111[[#This Row],[Cost]]*30,Other111[[#This Row],[Frequency]]="One-time",Other111[[#This Row],[Cost]]/SUM($C$18,$C$19)))/$C$17),Other111[[#This Row],[Unit]]="Per unit/space/household",(_xlfn.IFS(Other111[[#This Row],[Frequency]]="Per Year",Other111[[#This Row],[Cost]]/12,Other111[[#This Row],[Frequency]]="Per month",Other111[[#This Row],[Cost]],Other111[[#This Row],[Frequency]]="Per day",Other111[[#This Row],[Cost]]*30,Other111[[#This Row],[Frequency]]="One-time",Other111[[#This Row],[Cost]]/SUM($C$18,$C$19))))</f>
        <v>#N/A</v>
      </c>
      <c r="H118" s="46" t="e">
        <f>Other111[[#This Row],[Monthly Cost Per Unit]]*12</f>
        <v>#N/A</v>
      </c>
    </row>
    <row r="119" spans="1:9" x14ac:dyDescent="0.25">
      <c r="A119" s="57"/>
      <c r="B119" s="56"/>
      <c r="C119" s="58"/>
      <c r="D119" s="59"/>
      <c r="E119" s="60"/>
      <c r="F119" s="60"/>
      <c r="G119" s="53" t="e" cm="1">
        <f t="array" ref="G119">_xlfn.IFS(Other111[[#This Row],[Unit]]="Program-wide",((_xlfn.IFS(Other111[[#This Row],[Frequency]]="Per Year",Other111[[#This Row],[Cost]]/12,Other111[[#This Row],[Frequency]]="Per month",Other111[[#This Row],[Cost]],Other111[[#This Row],[Frequency]]="Per day",Other111[[#This Row],[Cost]]*30,Other111[[#This Row],[Frequency]]="One-time",Other111[[#This Row],[Cost]]/SUM($C$18,$C$19)))/$C$17),Other111[[#This Row],[Unit]]="Per unit/space/household",(_xlfn.IFS(Other111[[#This Row],[Frequency]]="Per Year",Other111[[#This Row],[Cost]]/12,Other111[[#This Row],[Frequency]]="Per month",Other111[[#This Row],[Cost]],Other111[[#This Row],[Frequency]]="Per day",Other111[[#This Row],[Cost]]*30,Other111[[#This Row],[Frequency]]="One-time",Other111[[#This Row],[Cost]]/SUM($C$18,$C$19))))</f>
        <v>#N/A</v>
      </c>
      <c r="H119" s="46" t="e">
        <f>Other111[[#This Row],[Monthly Cost Per Unit]]*12</f>
        <v>#N/A</v>
      </c>
    </row>
    <row r="120" spans="1:9" x14ac:dyDescent="0.25">
      <c r="A120" s="57"/>
      <c r="B120" s="56"/>
      <c r="C120" s="58"/>
      <c r="D120" s="59"/>
      <c r="E120" s="60"/>
      <c r="F120" s="60"/>
      <c r="G120" s="53" t="e" cm="1">
        <f t="array" ref="G120">_xlfn.IFS(Other111[[#This Row],[Unit]]="Program-wide",((_xlfn.IFS(Other111[[#This Row],[Frequency]]="Per Year",Other111[[#This Row],[Cost]]/12,Other111[[#This Row],[Frequency]]="Per month",Other111[[#This Row],[Cost]],Other111[[#This Row],[Frequency]]="Per day",Other111[[#This Row],[Cost]]*30,Other111[[#This Row],[Frequency]]="One-time",Other111[[#This Row],[Cost]]/SUM($C$18,$C$19)))/$C$17),Other111[[#This Row],[Unit]]="Per unit/space/household",(_xlfn.IFS(Other111[[#This Row],[Frequency]]="Per Year",Other111[[#This Row],[Cost]]/12,Other111[[#This Row],[Frequency]]="Per month",Other111[[#This Row],[Cost]],Other111[[#This Row],[Frequency]]="Per day",Other111[[#This Row],[Cost]]*30,Other111[[#This Row],[Frequency]]="One-time",Other111[[#This Row],[Cost]]/SUM($C$18,$C$19))))</f>
        <v>#N/A</v>
      </c>
      <c r="H120" s="46" t="e">
        <f>Other111[[#This Row],[Monthly Cost Per Unit]]*12</f>
        <v>#N/A</v>
      </c>
    </row>
    <row r="121" spans="1:9" s="1" customFormat="1" x14ac:dyDescent="0.25">
      <c r="A121" s="62"/>
      <c r="B121" s="61"/>
      <c r="C121" s="63"/>
      <c r="D121" s="64"/>
      <c r="E121" s="65"/>
      <c r="F121" s="65"/>
      <c r="G121" s="55" t="e" cm="1">
        <f t="array" ref="G121">_xlfn.IFS(Other111[[#This Row],[Unit]]="Program-wide",((_xlfn.IFS(Other111[[#This Row],[Frequency]]="Per Year",Other111[[#This Row],[Cost]]/12,Other111[[#This Row],[Frequency]]="Per month",Other111[[#This Row],[Cost]],Other111[[#This Row],[Frequency]]="Per day",Other111[[#This Row],[Cost]]*30,Other111[[#This Row],[Frequency]]="One-time",Other111[[#This Row],[Cost]]/SUM($C$18,$C$19)))/$C$17),Other111[[#This Row],[Unit]]="Per unit/space/household",(_xlfn.IFS(Other111[[#This Row],[Frequency]]="Per Year",Other111[[#This Row],[Cost]]/12,Other111[[#This Row],[Frequency]]="Per month",Other111[[#This Row],[Cost]],Other111[[#This Row],[Frequency]]="Per day",Other111[[#This Row],[Cost]]*30,Other111[[#This Row],[Frequency]]="One-time",Other111[[#This Row],[Cost]]/SUM($C$18,$C$19))))</f>
        <v>#N/A</v>
      </c>
      <c r="H121" s="46" t="e">
        <f>Other111[[#This Row],[Monthly Cost Per Unit]]*12</f>
        <v>#N/A</v>
      </c>
      <c r="I121"/>
    </row>
    <row r="122" spans="1:9" x14ac:dyDescent="0.25">
      <c r="A122" s="38" t="s">
        <v>20</v>
      </c>
      <c r="B122" s="38"/>
      <c r="C122" s="41" t="s">
        <v>68</v>
      </c>
      <c r="D122" s="37"/>
      <c r="E122" s="41"/>
      <c r="F122" s="41"/>
      <c r="G122" s="52"/>
      <c r="H122" s="48">
        <f>(SUMIF(Other111[Duration],"While homeless only",Other111[Monthly Cost Per Unit]))*12</f>
        <v>0</v>
      </c>
    </row>
    <row r="123" spans="1:9" x14ac:dyDescent="0.25">
      <c r="A123" s="26"/>
      <c r="B123" s="26"/>
      <c r="C123" s="41" t="s">
        <v>63</v>
      </c>
      <c r="D123" s="37"/>
      <c r="E123" s="41"/>
      <c r="F123" s="41"/>
      <c r="G123" s="48"/>
      <c r="H123" s="48">
        <f>(SUMIF(Other111[Duration],"While housed only",Other111[Monthly Cost Per Unit]))*12</f>
        <v>0</v>
      </c>
    </row>
    <row r="124" spans="1:9" x14ac:dyDescent="0.25">
      <c r="A124" s="26"/>
      <c r="B124" s="26"/>
      <c r="C124" s="41" t="s">
        <v>58</v>
      </c>
      <c r="D124" s="37"/>
      <c r="E124" s="41"/>
      <c r="F124" s="41"/>
      <c r="G124" s="48"/>
      <c r="H124" s="48">
        <f>(SUMIF(Other111[Duration],"Homeless &amp; housed",Other111[Monthly Cost Per Unit]))*12</f>
        <v>0</v>
      </c>
    </row>
    <row r="125" spans="1:9" ht="15.75" thickBot="1" x14ac:dyDescent="0.3">
      <c r="A125" s="26"/>
      <c r="B125" s="26"/>
      <c r="C125" s="42" t="s">
        <v>207</v>
      </c>
      <c r="D125" s="24"/>
      <c r="E125" s="42"/>
      <c r="F125" s="42"/>
      <c r="G125" s="50"/>
      <c r="H125" s="50">
        <f>(SUMIF(Other111[Duration],"N/A",Other111[Monthly Cost Per Unit]))*12</f>
        <v>0</v>
      </c>
    </row>
    <row r="126" spans="1:9" ht="16.5" thickTop="1" thickBot="1" x14ac:dyDescent="0.3">
      <c r="A126" s="27"/>
      <c r="B126" s="27"/>
      <c r="C126" s="42" t="s">
        <v>42</v>
      </c>
      <c r="D126" s="24"/>
      <c r="E126" s="42"/>
      <c r="F126" s="42"/>
      <c r="G126" s="50"/>
      <c r="H126" s="50">
        <f>SUM(H122:H125)</f>
        <v>0</v>
      </c>
    </row>
    <row r="127" spans="1:9" ht="15.75" thickTop="1" x14ac:dyDescent="0.25"/>
    <row r="128" spans="1:9" x14ac:dyDescent="0.25">
      <c r="A128" s="269" t="s">
        <v>92</v>
      </c>
      <c r="B128" s="269"/>
      <c r="C128" s="269"/>
      <c r="D128" s="269"/>
      <c r="E128" s="269"/>
      <c r="F128" s="269"/>
      <c r="G128" s="269"/>
      <c r="H128" s="269"/>
    </row>
    <row r="129" spans="1:8" x14ac:dyDescent="0.25">
      <c r="A129" s="270" t="s">
        <v>20</v>
      </c>
      <c r="B129" s="29"/>
      <c r="C129" s="41" t="s">
        <v>68</v>
      </c>
      <c r="D129" s="15"/>
      <c r="E129" s="15"/>
      <c r="F129" s="15"/>
      <c r="G129" s="16"/>
      <c r="H129" s="48">
        <f>SUM(H32,H53,H86, H108,H122)</f>
        <v>320</v>
      </c>
    </row>
    <row r="130" spans="1:8" x14ac:dyDescent="0.25">
      <c r="A130" s="271"/>
      <c r="B130" s="28"/>
      <c r="C130" s="41" t="s">
        <v>63</v>
      </c>
      <c r="D130" s="14"/>
      <c r="E130" s="14"/>
      <c r="F130" s="14"/>
      <c r="G130" s="16"/>
      <c r="H130" s="48">
        <f>SUM(H33,H54,H87, H109,H123)</f>
        <v>16320</v>
      </c>
    </row>
    <row r="131" spans="1:8" x14ac:dyDescent="0.25">
      <c r="A131" s="271"/>
      <c r="B131" s="28"/>
      <c r="C131" s="41" t="s">
        <v>58</v>
      </c>
      <c r="D131" s="14"/>
      <c r="E131" s="14"/>
      <c r="F131" s="14"/>
      <c r="G131" s="16"/>
      <c r="H131" s="48">
        <f>SUM(H34,H55,H88, H110,H124)</f>
        <v>19700</v>
      </c>
    </row>
    <row r="132" spans="1:8" ht="15.75" thickBot="1" x14ac:dyDescent="0.3">
      <c r="A132" s="271"/>
      <c r="B132" s="28"/>
      <c r="C132" s="42" t="s">
        <v>207</v>
      </c>
      <c r="D132" s="121"/>
      <c r="E132" s="121"/>
      <c r="F132" s="121"/>
      <c r="G132" s="119"/>
      <c r="H132" s="120">
        <f>SUM(H35,H56,H89, H111,H125)</f>
        <v>3666.6666666666665</v>
      </c>
    </row>
    <row r="133" spans="1:8" ht="16.5" thickTop="1" thickBot="1" x14ac:dyDescent="0.3">
      <c r="A133" s="272"/>
      <c r="B133" s="17"/>
      <c r="C133" s="122" t="s">
        <v>42</v>
      </c>
      <c r="D133" s="122"/>
      <c r="E133" s="122"/>
      <c r="F133" s="122"/>
      <c r="G133" s="123"/>
      <c r="H133" s="124">
        <f>SUM(H36,H57,H90, H112,H126)</f>
        <v>40006.666666666672</v>
      </c>
    </row>
    <row r="134" spans="1:8" ht="15.75" thickTop="1" x14ac:dyDescent="0.25"/>
  </sheetData>
  <sheetProtection sheet="1" formatCells="0" formatColumns="0" formatRows="0"/>
  <mergeCells count="40">
    <mergeCell ref="A60:H60"/>
    <mergeCell ref="A25:H25"/>
    <mergeCell ref="A39:H39"/>
    <mergeCell ref="A93:H93"/>
    <mergeCell ref="A115:H115"/>
    <mergeCell ref="A114:H114"/>
    <mergeCell ref="A2:H2"/>
    <mergeCell ref="A7:D7"/>
    <mergeCell ref="A9:D9"/>
    <mergeCell ref="A10:B10"/>
    <mergeCell ref="C10:D10"/>
    <mergeCell ref="A5:B5"/>
    <mergeCell ref="C5:D5"/>
    <mergeCell ref="A11:B11"/>
    <mergeCell ref="C11:D11"/>
    <mergeCell ref="A12:B12"/>
    <mergeCell ref="C12:D12"/>
    <mergeCell ref="A13:B13"/>
    <mergeCell ref="C13:D13"/>
    <mergeCell ref="A16:D16"/>
    <mergeCell ref="A17:B17"/>
    <mergeCell ref="C17:D17"/>
    <mergeCell ref="A18:B18"/>
    <mergeCell ref="C18:D18"/>
    <mergeCell ref="A128:H128"/>
    <mergeCell ref="A129:A133"/>
    <mergeCell ref="A4:D4"/>
    <mergeCell ref="A59:H59"/>
    <mergeCell ref="A92:H92"/>
    <mergeCell ref="A19:B19"/>
    <mergeCell ref="C19:D19"/>
    <mergeCell ref="A22:H22"/>
    <mergeCell ref="A24:H24"/>
    <mergeCell ref="A38:H38"/>
    <mergeCell ref="A75:H75"/>
    <mergeCell ref="A61:F61"/>
    <mergeCell ref="A74:F74"/>
    <mergeCell ref="G74:H74"/>
    <mergeCell ref="A62:F62"/>
    <mergeCell ref="A15:D15"/>
  </mergeCells>
  <dataValidations count="13">
    <dataValidation type="custom" allowBlank="1" showInputMessage="1" showErrorMessage="1" prompt="This would be the amount of time a client is enrolled in the program after they have a housing move-in date in HMIS." sqref="C19:D19" xr:uid="{A133965D-B6F6-46AE-9C74-6ABFF9B1EDC2}">
      <formula1>ISNUMBER(VALUE(C19))</formula1>
    </dataValidation>
    <dataValidation type="custom" allowBlank="1" showInputMessage="1" showErrorMessage="1" prompt="This would be the amount of time a client is enrolled in the program before they have a housing move-in date in HMIS." sqref="C18:D18" xr:uid="{3B495583-E759-473E-8D73-5D2CA8B88F52}">
      <formula1>ISNUMBER(VALUE(C18))</formula1>
    </dataValidation>
    <dataValidation type="custom" allowBlank="1" showInputMessage="1" showErrorMessage="1" prompt="Project capacity is the number of units available at a point in time. Depending on the project type, a unit may represent a rental subsidy, a room or bed in a congregate setting, a motel room, a supportive services slot, etc." sqref="C17:D17" xr:uid="{33F27281-15CB-4CA2-8DD6-8E3BA1DE2F1E}">
      <formula1>ISNUMBER(VALUE(C17))</formula1>
    </dataValidation>
    <dataValidation type="custom" allowBlank="1" showInputMessage="1" showErrorMessage="1" sqref="D27:D31 D41:D52 D95:D107 B64:E71 D117:D121 D77:D85" xr:uid="{A255A47F-6C9E-48E7-957E-2156A7726E28}">
      <formula1>ISNUMBER(VALUE(B27))</formula1>
    </dataValidation>
    <dataValidation allowBlank="1" showInputMessage="1" showErrorMessage="1" prompt="_x000a_" sqref="G13" xr:uid="{B50F2DEB-3DB9-42E9-9900-9C24197B1774}"/>
    <dataValidation allowBlank="1" showInputMessage="1" showErrorMessage="1" prompt="This field required a selection from a drop-down menu. To find this menu, click on the cell and click the down arrow on the right-hand of the cell." sqref="E26:F26 E40:F40 E76:F76 E94:F94 E116:F116" xr:uid="{94C3EBC7-55B7-4463-B38A-B108C5BEEDC1}"/>
    <dataValidation allowBlank="1" showInputMessage="1" showErrorMessage="1" prompt="This field required a selection from a drop-down menu. To find this menu, click on the cell and click the down arrow on the right-hand of the cell. " sqref="C26 C40 C76 C94 C116" xr:uid="{0C61A237-9C77-449E-8379-EC75383F224C}"/>
    <dataValidation allowBlank="1" showInputMessage="1" showErrorMessage="1" prompt="This column is auto-calculated based on the average rental cost and average utility cost per unit information." sqref="F63:F72" xr:uid="{44EC8AF0-7E1E-4603-B13D-F4BA258D2E99}"/>
    <dataValidation allowBlank="1" showInputMessage="1" showErrorMessage="1" prompt="This would be the amount of time a client is enrolled in the program after they have a housing move-in date in HMIS." sqref="A19:B20 D20" xr:uid="{83E13093-CB13-4AD2-A714-B0F240100D27}"/>
    <dataValidation allowBlank="1" showInputMessage="1" showErrorMessage="1" prompt="This would be the amount of time a client is enrolled in the program before they have a housing move-in date in HMIS." sqref="A18:B18" xr:uid="{BCF51DA3-A789-49A4-9174-4E668C4460A5}"/>
    <dataValidation allowBlank="1" showInputMessage="1" showErrorMessage="1" prompt="Project capacity is the number of units available at a point in time. Depending on the project type, a unit may represent a rental subsidy, a room or bed in a congregate setting, a motel room, a supportive services slot, etc." sqref="A17:B17" xr:uid="{4F3A203E-386D-44B6-9FC5-28E15DE5AD47}"/>
    <dataValidation allowBlank="1" showInputMessage="1" showErrorMessage="1" prompt="This total is what you use to calculate total annual cost per unit by project type, which is the input asked for in Stella M. This calculation can be done by entering this information in the appropriate project type table on the Summary tab." sqref="F14" xr:uid="{34FFC637-06BD-4325-B2A7-02C2FF09C8FC}"/>
    <dataValidation allowBlank="1" showErrorMessage="1" sqref="C20 G14" xr:uid="{B8526D28-E048-4429-83F6-869EE7BBEBFD}"/>
  </dataValidations>
  <pageMargins left="0.7" right="0.7" top="0.75" bottom="0.75" header="0.3" footer="0.3"/>
  <pageSetup orientation="portrait" horizontalDpi="90" verticalDpi="90" r:id="rId1"/>
  <ignoredErrors>
    <ignoredError sqref="G27:G31 G41:G43 G81:G85 G95:G107 G117:G121 G45:G52 G77" calculatedColumn="1"/>
    <ignoredError sqref="F64:F71" formulaRange="1"/>
  </ignoredErrors>
  <tableParts count="5">
    <tablePart r:id="rId2"/>
    <tablePart r:id="rId3"/>
    <tablePart r:id="rId4"/>
    <tablePart r:id="rId5"/>
    <tablePart r:id="rId6"/>
  </tableParts>
  <extLst>
    <ext xmlns:x14="http://schemas.microsoft.com/office/spreadsheetml/2009/9/main" uri="{CCE6A557-97BC-4b89-ADB6-D9C93CAAB3DF}">
      <x14:dataValidations xmlns:xm="http://schemas.microsoft.com/office/excel/2006/main" count="9">
        <x14:dataValidation type="list" allowBlank="1" showInputMessage="1" showErrorMessage="1" prompt="This field required a selection from a drop-down menu. To find this menu, click on the cell and click the down arrow on the right-hand of the cell." xr:uid="{0A665C56-9AF8-4E86-ABF0-4DE3C27B2F91}">
          <x14:formula1>
            <xm:f>Allowable!$B$2:$B$3</xm:f>
          </x14:formula1>
          <xm:sqref>F27:F31</xm:sqref>
        </x14:dataValidation>
        <x14:dataValidation type="list" allowBlank="1" showInputMessage="1" showErrorMessage="1" xr:uid="{3DC234B8-92F8-4A5D-86F2-8E68B899A0A7}">
          <x14:formula1>
            <xm:f>Allowable!$D$2:$D$13</xm:f>
          </x14:formula1>
          <xm:sqref>C11:D11</xm:sqref>
        </x14:dataValidation>
        <x14:dataValidation type="list" allowBlank="1" showInputMessage="1" showErrorMessage="1" prompt="This field required a selection from a drop-down menu. To find this menu, click on the cell and click the down arrow on the right-hand of the cell. " xr:uid="{33D4E9D2-3919-4055-A887-AF0700F331FC}">
          <x14:formula1>
            <xm:f>Allowable!$B$2:$B$3</xm:f>
          </x14:formula1>
          <xm:sqref>F41:F52 F95:F107 F117:F121 F77:F85</xm:sqref>
        </x14:dataValidation>
        <x14:dataValidation type="list" allowBlank="1" showInputMessage="1" showErrorMessage="1" prompt="This field required a selection from a drop-down menu. To find this menu, click on the cell and click the down arrow on the right-hand of the cell. " xr:uid="{6FAE403C-1AAE-4504-A234-BC49F908E5CE}">
          <x14:formula1>
            <xm:f>Allowable!$A$2:$A$5</xm:f>
          </x14:formula1>
          <xm:sqref>E41:E52 E95:E107 E117:E121 E77:E85</xm:sqref>
        </x14:dataValidation>
        <x14:dataValidation type="list" allowBlank="1" showInputMessage="1" showErrorMessage="1" prompt="This field required a selection from a drop-down menu. To find this menu, click on the cell and click the down arrow on the right-hand of the cell." xr:uid="{88D3FCCE-50F6-438F-841C-54D1150F146F}">
          <x14:formula1>
            <xm:f>Allowable!$A$2:$A$5</xm:f>
          </x14:formula1>
          <xm:sqref>E27:E31 E41:E52</xm:sqref>
        </x14:dataValidation>
        <x14:dataValidation type="list" allowBlank="1" showInputMessage="1" showErrorMessage="1" xr:uid="{343A2CF7-512E-4DD6-96AA-0CDCE9C9ED28}">
          <x14:formula1>
            <xm:f>Allowable!$A$2:$A$5</xm:f>
          </x14:formula1>
          <xm:sqref>E58</xm:sqref>
        </x14:dataValidation>
        <x14:dataValidation type="list" allowBlank="1" showInputMessage="1" showErrorMessage="1" xr:uid="{D04F6D85-4C60-4496-AB39-1A718F3BF425}">
          <x14:formula1>
            <xm:f>Allowable!$B$2:$B$3</xm:f>
          </x14:formula1>
          <xm:sqref>F58</xm:sqref>
        </x14:dataValidation>
        <x14:dataValidation type="list" allowBlank="1" showInputMessage="1" showErrorMessage="1" prompt="This field required a selection from a drop-down menu. To find this menu, click on the cell and click the down arrow on the right-hand of the cell. " xr:uid="{B7C70747-5076-45AE-8A42-3FD662E9E9DC}">
          <x14:formula1>
            <xm:f>Allowable!$E$2:$E$5</xm:f>
          </x14:formula1>
          <xm:sqref>C117:C121 C27:C31 C41:C52 C95:C107</xm:sqref>
        </x14:dataValidation>
        <x14:dataValidation type="list" allowBlank="1" showInputMessage="1" showErrorMessage="1" prompt="This field required a selection from a drop-down menu. To find this menu, click on the cell and click the down arrow on the right-hand of the cell. " xr:uid="{B22169C6-211A-4090-8AF3-BEECC5ED2754}">
          <x14:formula1>
            <xm:f>Allowable!$E$2:$E$54</xm:f>
          </x14:formula1>
          <xm:sqref>C77:C85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46CF7-929B-4B21-81EB-C938ABE2AD77}">
  <sheetPr>
    <tabColor theme="8" tint="0.79998168889431442"/>
  </sheetPr>
  <dimension ref="A2:H61"/>
  <sheetViews>
    <sheetView showGridLines="0" zoomScaleNormal="100" workbookViewId="0">
      <selection activeCell="C46" sqref="C46"/>
    </sheetView>
  </sheetViews>
  <sheetFormatPr defaultColWidth="8.7109375" defaultRowHeight="15" x14ac:dyDescent="0.25"/>
  <cols>
    <col min="1" max="1" width="19.140625" style="106" customWidth="1"/>
    <col min="2" max="2" width="24" style="106" customWidth="1"/>
    <col min="3" max="3" width="15.42578125" style="106" customWidth="1"/>
    <col min="4" max="4" width="15.28515625" style="106" customWidth="1"/>
    <col min="5" max="5" width="15.42578125" style="106" customWidth="1"/>
    <col min="6" max="8" width="15.28515625" style="106" customWidth="1"/>
    <col min="9" max="9" width="2.42578125" style="106" customWidth="1"/>
    <col min="10" max="10" width="24.140625" style="106" customWidth="1"/>
    <col min="11" max="11" width="13.42578125" style="106" customWidth="1"/>
    <col min="12" max="12" width="2.42578125" style="106" customWidth="1"/>
    <col min="13" max="13" width="26.42578125" style="106" customWidth="1"/>
    <col min="14" max="14" width="13.42578125" style="106" customWidth="1"/>
    <col min="15" max="15" width="2.42578125" style="106" customWidth="1"/>
    <col min="16" max="16" width="24.28515625" style="106" customWidth="1"/>
    <col min="17" max="17" width="13.7109375" style="106" customWidth="1"/>
    <col min="18" max="18" width="2.42578125" style="106" customWidth="1"/>
    <col min="19" max="19" width="16.7109375" style="106" customWidth="1"/>
    <col min="20" max="20" width="15" style="106" bestFit="1" customWidth="1"/>
    <col min="21" max="21" width="15.5703125" style="106" bestFit="1" customWidth="1"/>
    <col min="22" max="22" width="7.85546875" style="106" bestFit="1" customWidth="1"/>
    <col min="23" max="23" width="12.5703125" style="106" bestFit="1" customWidth="1"/>
    <col min="24" max="24" width="10.85546875" style="106" bestFit="1" customWidth="1"/>
    <col min="25" max="16384" width="8.7109375" style="106"/>
  </cols>
  <sheetData>
    <row r="2" spans="1:8" ht="26.1" customHeight="1" x14ac:dyDescent="0.4">
      <c r="A2" s="247" t="s">
        <v>0</v>
      </c>
      <c r="B2" s="247"/>
      <c r="C2" s="247"/>
      <c r="D2" s="247"/>
      <c r="E2" s="247"/>
      <c r="F2" s="247"/>
      <c r="G2" s="247"/>
      <c r="H2" s="247"/>
    </row>
    <row r="3" spans="1:8" ht="56.45" customHeight="1" x14ac:dyDescent="0.25">
      <c r="A3" s="248" t="s">
        <v>103</v>
      </c>
      <c r="B3" s="248"/>
      <c r="C3" s="248"/>
      <c r="D3" s="248"/>
      <c r="E3" s="248"/>
      <c r="F3" s="248"/>
      <c r="G3" s="248"/>
      <c r="H3" s="248"/>
    </row>
    <row r="4" spans="1:8" x14ac:dyDescent="0.25">
      <c r="A4" s="252" t="s">
        <v>102</v>
      </c>
      <c r="B4" s="252"/>
      <c r="C4" s="252"/>
      <c r="D4" s="252"/>
      <c r="E4" s="252"/>
      <c r="F4" s="252"/>
      <c r="G4" s="252"/>
      <c r="H4" s="252"/>
    </row>
    <row r="7" spans="1:8" ht="26.1" customHeight="1" x14ac:dyDescent="0.4">
      <c r="A7" s="210" t="s">
        <v>1</v>
      </c>
      <c r="B7" s="210"/>
      <c r="C7" s="210"/>
      <c r="D7" s="210"/>
      <c r="E7" s="210"/>
      <c r="F7" s="210"/>
      <c r="G7" s="210"/>
      <c r="H7" s="210"/>
    </row>
    <row r="8" spans="1:8" ht="5.45" customHeight="1" x14ac:dyDescent="0.4">
      <c r="A8" s="152"/>
      <c r="B8" s="152"/>
      <c r="C8" s="152"/>
      <c r="D8" s="152"/>
      <c r="F8" s="85"/>
      <c r="G8" s="85"/>
    </row>
    <row r="9" spans="1:8" ht="20.100000000000001" customHeight="1" x14ac:dyDescent="0.25">
      <c r="A9" s="249" t="s">
        <v>2</v>
      </c>
      <c r="B9" s="249"/>
      <c r="C9" s="249"/>
      <c r="D9" s="249"/>
      <c r="E9" s="249"/>
    </row>
    <row r="10" spans="1:8" ht="20.100000000000001" customHeight="1" x14ac:dyDescent="0.25">
      <c r="A10" s="250" t="s">
        <v>3</v>
      </c>
      <c r="B10" s="250"/>
      <c r="C10" s="250"/>
      <c r="D10" s="303"/>
      <c r="E10" s="303"/>
    </row>
    <row r="11" spans="1:8" s="153" customFormat="1" ht="20.100000000000001" customHeight="1" x14ac:dyDescent="0.25">
      <c r="A11" s="253" t="s">
        <v>4</v>
      </c>
      <c r="B11" s="253"/>
      <c r="C11" s="253"/>
      <c r="D11" s="302"/>
      <c r="E11" s="302"/>
    </row>
    <row r="12" spans="1:8" ht="20.100000000000001" customHeight="1" x14ac:dyDescent="0.25">
      <c r="A12" s="253" t="s">
        <v>6</v>
      </c>
      <c r="B12" s="253"/>
      <c r="C12" s="253"/>
      <c r="D12" s="302"/>
      <c r="E12" s="302"/>
    </row>
    <row r="13" spans="1:8" ht="61.5" customHeight="1" x14ac:dyDescent="0.25">
      <c r="A13" s="255" t="s">
        <v>7</v>
      </c>
      <c r="B13" s="255"/>
      <c r="C13" s="255"/>
      <c r="D13" s="302"/>
      <c r="E13" s="302"/>
    </row>
    <row r="14" spans="1:8" ht="56.1" customHeight="1" x14ac:dyDescent="0.25">
      <c r="A14" s="255" t="s">
        <v>9</v>
      </c>
      <c r="B14" s="255"/>
      <c r="C14" s="255"/>
      <c r="D14" s="302"/>
      <c r="E14" s="302"/>
    </row>
    <row r="15" spans="1:8" ht="60" customHeight="1" x14ac:dyDescent="0.25">
      <c r="A15" s="255" t="s">
        <v>11</v>
      </c>
      <c r="B15" s="255"/>
      <c r="C15" s="255"/>
      <c r="D15" s="301"/>
      <c r="E15" s="301"/>
    </row>
    <row r="18" spans="1:8" ht="26.25" x14ac:dyDescent="0.4">
      <c r="A18" s="264" t="s">
        <v>12</v>
      </c>
      <c r="B18" s="264"/>
      <c r="C18" s="264"/>
      <c r="D18" s="264"/>
      <c r="E18" s="264"/>
      <c r="F18" s="264"/>
      <c r="G18" s="264"/>
      <c r="H18" s="264"/>
    </row>
    <row r="19" spans="1:8" ht="72" customHeight="1" x14ac:dyDescent="0.25">
      <c r="A19" s="265" t="s">
        <v>107</v>
      </c>
      <c r="B19" s="265"/>
      <c r="C19" s="265"/>
      <c r="D19" s="265"/>
      <c r="E19" s="265"/>
      <c r="F19" s="265"/>
      <c r="G19" s="265"/>
      <c r="H19" s="265"/>
    </row>
    <row r="20" spans="1:8" ht="4.5" customHeight="1" x14ac:dyDescent="0.25"/>
    <row r="21" spans="1:8" s="154" customFormat="1" ht="21" x14ac:dyDescent="0.35">
      <c r="A21" s="268" t="s">
        <v>13</v>
      </c>
      <c r="B21" s="268"/>
      <c r="C21" s="268"/>
      <c r="D21" s="268"/>
      <c r="E21" s="268"/>
      <c r="F21" s="268"/>
      <c r="G21" s="268"/>
      <c r="H21" s="268"/>
    </row>
    <row r="22" spans="1:8" ht="6.95" customHeight="1" x14ac:dyDescent="0.25"/>
    <row r="23" spans="1:8" ht="60" x14ac:dyDescent="0.25">
      <c r="A23" s="126" t="s">
        <v>14</v>
      </c>
      <c r="B23" s="127" t="s">
        <v>15</v>
      </c>
      <c r="C23" s="127" t="s">
        <v>16</v>
      </c>
      <c r="D23" s="127" t="s">
        <v>17</v>
      </c>
      <c r="E23" s="127" t="s">
        <v>105</v>
      </c>
      <c r="F23" s="127" t="s">
        <v>18</v>
      </c>
      <c r="G23" s="127" t="s">
        <v>19</v>
      </c>
      <c r="H23" s="127" t="s">
        <v>20</v>
      </c>
    </row>
    <row r="24" spans="1:8" x14ac:dyDescent="0.25">
      <c r="A24" s="155" t="str">
        <f>IF(ISBLANK('Project 1'!C11), "", (IF('Project 1'!C11 = "Other", 'Project 1'!C12, 'Project 1'!C11)))</f>
        <v/>
      </c>
      <c r="B24" s="156" t="str">
        <f>IF(ISBLANK('Project 1'!C10)," ", 'Project 1'!C10)</f>
        <v xml:space="preserve"> </v>
      </c>
      <c r="C24" s="157" t="str">
        <f>IF('Project 1'!H36 = 0, " ", 'Project 1'!H36)</f>
        <v xml:space="preserve"> </v>
      </c>
      <c r="D24" s="157" t="str">
        <f>IF('Project 1'!H57 = 0, " ", 'Project 1'!H57)</f>
        <v xml:space="preserve"> </v>
      </c>
      <c r="E24" s="157" t="str">
        <f>IF('Project 1'!H90 = 0, " ", 'Project 1'!H90)</f>
        <v xml:space="preserve"> </v>
      </c>
      <c r="F24" s="157" t="str">
        <f>IF('Project 1'!H112 = 0, " ", 'Project 1'!H112)</f>
        <v xml:space="preserve"> </v>
      </c>
      <c r="G24" s="157" t="str">
        <f>IF('Project 1'!H126 = 0, " ", 'Project 1'!H126)</f>
        <v xml:space="preserve"> </v>
      </c>
      <c r="H24" s="158" t="str">
        <f>IF('Project 1'!G14 = 0, " ", 'Project 1'!G14)</f>
        <v xml:space="preserve"> </v>
      </c>
    </row>
    <row r="25" spans="1:8" x14ac:dyDescent="0.25">
      <c r="A25" s="155" t="str">
        <f>IF(ISBLANK('Project 2'!C11), "", (IF('Project 2'!C11 = "Other", 'Project 2'!C12, 'Project 2'!C11)))</f>
        <v/>
      </c>
      <c r="B25" s="156" t="str">
        <f>IF(ISBLANK('Project 2'!C10)," ", 'Project 2'!C10)</f>
        <v xml:space="preserve"> </v>
      </c>
      <c r="C25" s="157" t="str">
        <f>IF('Project 2'!H36 = 0, " ", 'Project 2'!H36)</f>
        <v xml:space="preserve"> </v>
      </c>
      <c r="D25" s="157" t="str">
        <f>IF('Project 2'!H57 = 0, " ", 'Project 2'!H57)</f>
        <v xml:space="preserve"> </v>
      </c>
      <c r="E25" s="157" t="str">
        <f>IF('Project 2'!H90 = 0, " ", 'Project 2'!H90)</f>
        <v xml:space="preserve"> </v>
      </c>
      <c r="F25" s="157" t="str">
        <f>IF('Project 2'!H112 = 0, " ", 'Project 2'!H112)</f>
        <v xml:space="preserve"> </v>
      </c>
      <c r="G25" s="157" t="str">
        <f>IF('Project 2'!H126 = 0, " ", 'Project 2'!H126)</f>
        <v xml:space="preserve"> </v>
      </c>
      <c r="H25" s="158" t="str">
        <f>IF('Project 2'!G14 = 0, " ", 'Project 2'!G14)</f>
        <v xml:space="preserve"> </v>
      </c>
    </row>
    <row r="26" spans="1:8" x14ac:dyDescent="0.25">
      <c r="A26" s="155" t="str">
        <f>IF(ISBLANK('Project 3'!C11), "", (IF('Project 3'!C11 = "Other", 'Project 3'!C12, 'Project 3'!C11)))</f>
        <v/>
      </c>
      <c r="B26" s="156" t="str">
        <f>IF(ISBLANK('Project 3'!C10)," ", 'Project 3'!C10)</f>
        <v xml:space="preserve"> </v>
      </c>
      <c r="C26" s="157" t="str">
        <f>IF('Project 3'!H36 = 0, " ", 'Project 3'!H36)</f>
        <v xml:space="preserve"> </v>
      </c>
      <c r="D26" s="157" t="str">
        <f>IF('Project 3'!H57 = 0, " ", 'Project 3'!H57)</f>
        <v xml:space="preserve"> </v>
      </c>
      <c r="E26" s="157" t="str">
        <f>IF('Project 3'!H90 = 0, " ", 'Project 3'!H90)</f>
        <v xml:space="preserve"> </v>
      </c>
      <c r="F26" s="157" t="str">
        <f>IF('Project 3'!H112 = 0, " ", 'Project 3'!H112)</f>
        <v xml:space="preserve"> </v>
      </c>
      <c r="G26" s="157" t="str">
        <f>IF('Project 3'!H126 = 0, " ", 'Project 3'!H126)</f>
        <v xml:space="preserve"> </v>
      </c>
      <c r="H26" s="158" t="str">
        <f>IF('Project 3'!G14 = 0, " ", 'Project 3'!G14)</f>
        <v xml:space="preserve"> </v>
      </c>
    </row>
    <row r="27" spans="1:8" x14ac:dyDescent="0.25">
      <c r="A27" s="155" t="str">
        <f>IF(ISBLANK('Project 4'!C11), "", (IF('Project 4'!C11 = "Other", 'Project 4'!C12, 'Project 4'!C11)))</f>
        <v/>
      </c>
      <c r="B27" s="156" t="str">
        <f>IF(ISBLANK('Project 4'!C10)," ", 'Project 4'!C10)</f>
        <v xml:space="preserve"> </v>
      </c>
      <c r="C27" s="157" t="str">
        <f>IF('Project 4'!H36 = 0, " ", 'Project 4'!H36)</f>
        <v xml:space="preserve"> </v>
      </c>
      <c r="D27" s="157" t="str">
        <f>IF('Project 4'!H57 = 0, " ", 'Project 4'!H57)</f>
        <v xml:space="preserve"> </v>
      </c>
      <c r="E27" s="157" t="str">
        <f>IF('Project 4'!H90 = 0, " ", 'Project 4'!H90)</f>
        <v xml:space="preserve"> </v>
      </c>
      <c r="F27" s="157" t="str">
        <f>IF('Project 4'!H112 = 0, " ", 'Project 4'!H112)</f>
        <v xml:space="preserve"> </v>
      </c>
      <c r="G27" s="157" t="str">
        <f>IF('Project 4'!H126 = 0, " ", 'Project 4'!H126)</f>
        <v xml:space="preserve"> </v>
      </c>
      <c r="H27" s="158" t="str">
        <f>IF('Project 4'!G14 = 0, " ", 'Project 4'!G14)</f>
        <v xml:space="preserve"> </v>
      </c>
    </row>
    <row r="28" spans="1:8" x14ac:dyDescent="0.25">
      <c r="A28" s="155" t="str">
        <f>IF(ISBLANK('Project 5'!C11), "", (IF('Project 5'!C11 = "Other", 'Project 5'!C12, 'Project 5'!C11)))</f>
        <v/>
      </c>
      <c r="B28" s="156" t="str">
        <f>IF(ISBLANK('Project 5'!C10)," ", 'Project 5'!C10)</f>
        <v xml:space="preserve"> </v>
      </c>
      <c r="C28" s="157" t="str">
        <f>IF('Project 5'!H36 = 0, " ", 'Project 5'!H36)</f>
        <v xml:space="preserve"> </v>
      </c>
      <c r="D28" s="157" t="str">
        <f>IF('Project 5'!H57 = 0, " ", 'Project 5'!H57)</f>
        <v xml:space="preserve"> </v>
      </c>
      <c r="E28" s="157" t="str">
        <f>IF('Project 5'!H90 = 0, " ", 'Project 5'!H90)</f>
        <v xml:space="preserve"> </v>
      </c>
      <c r="F28" s="157" t="str">
        <f>IF('Project 5'!H112 = 0, " ", 'Project 5'!H112)</f>
        <v xml:space="preserve"> </v>
      </c>
      <c r="G28" s="157" t="str">
        <f>IF('Project 5'!H126 = 0, " ", 'Project 5'!H126)</f>
        <v xml:space="preserve"> </v>
      </c>
      <c r="H28" s="158" t="str">
        <f>IF('Project 5'!G14 = 0, " ", 'Project 5'!G14)</f>
        <v xml:space="preserve"> </v>
      </c>
    </row>
    <row r="29" spans="1:8" x14ac:dyDescent="0.25">
      <c r="A29" s="155" t="str">
        <f>IF(ISBLANK('Project 6'!C11), "", (IF('Project 6'!C11 = "Other", 'Project 6'!C12, 'Project 6'!C11)))</f>
        <v/>
      </c>
      <c r="B29" s="156" t="str">
        <f>IF(ISBLANK('Project 6'!C10)," ", 'Project 6'!C10)</f>
        <v xml:space="preserve"> </v>
      </c>
      <c r="C29" s="157" t="str">
        <f>IF('Project 6'!H36 = 0, " ", 'Project 6'!H36)</f>
        <v xml:space="preserve"> </v>
      </c>
      <c r="D29" s="157" t="str">
        <f>IF('Project 6'!H57 = 0, " ", 'Project 6'!H57)</f>
        <v xml:space="preserve"> </v>
      </c>
      <c r="E29" s="157" t="str">
        <f>IF('Project 6'!H90 = 0, " ", 'Project 6'!H90)</f>
        <v xml:space="preserve"> </v>
      </c>
      <c r="F29" s="157" t="str">
        <f>IF('Project 6'!H112 = 0, " ", 'Project 6'!H112)</f>
        <v xml:space="preserve"> </v>
      </c>
      <c r="G29" s="157" t="str">
        <f>IF('Project 6'!H126 = 0, " ", 'Project 6'!H126)</f>
        <v xml:space="preserve"> </v>
      </c>
      <c r="H29" s="158" t="str">
        <f>IF('Project 6'!G14 = 0, " ", 'Project 6'!G14)</f>
        <v xml:space="preserve"> </v>
      </c>
    </row>
    <row r="30" spans="1:8" x14ac:dyDescent="0.25">
      <c r="A30" s="155" t="str">
        <f>IF(ISBLANK('Project 7'!C8), "", (IF('Project 7'!C11 = "Other", 'Project 7'!C12, 'Project 7'!C11)))</f>
        <v/>
      </c>
      <c r="B30" s="156" t="str">
        <f>IF(ISBLANK('Project 7'!C10)," ", 'Project 7'!C10)</f>
        <v xml:space="preserve"> </v>
      </c>
      <c r="C30" s="157" t="str">
        <f>IF('Project 7'!H36 = 0, " ", 'Project 7'!H36)</f>
        <v xml:space="preserve"> </v>
      </c>
      <c r="D30" s="157" t="str">
        <f>IF('Project 7'!H57 = 0, " ", 'Project 7'!H57)</f>
        <v xml:space="preserve"> </v>
      </c>
      <c r="E30" s="157" t="str">
        <f>IF('Project 7'!H90 = 0, " ", 'Project 7'!H90)</f>
        <v xml:space="preserve"> </v>
      </c>
      <c r="F30" s="157" t="str">
        <f>IF('Project 7'!H112 = 0, " ", 'Project 7'!H112)</f>
        <v xml:space="preserve"> </v>
      </c>
      <c r="G30" s="157" t="str">
        <f>IF('Project 7'!H126 = 0, " ", 'Project 7'!H126)</f>
        <v xml:space="preserve"> </v>
      </c>
      <c r="H30" s="158" t="str">
        <f>IF('Project 7'!G14 = 0, " ", 'Project 7'!G14)</f>
        <v xml:space="preserve"> </v>
      </c>
    </row>
    <row r="31" spans="1:8" x14ac:dyDescent="0.25">
      <c r="A31" s="155" t="str">
        <f>IF(ISBLANK('Project 8'!C11), "", (IF('Project 8'!C11 = "Other", 'Project 8'!C12, 'Project 8'!C11)))</f>
        <v/>
      </c>
      <c r="B31" s="156" t="str">
        <f>IF(ISBLANK('Project 8'!C10)," ", 'Project 8'!C10)</f>
        <v xml:space="preserve"> </v>
      </c>
      <c r="C31" s="157" t="str">
        <f>IF('Project 8'!H36 = 0, " ", 'Project 8'!H36)</f>
        <v xml:space="preserve"> </v>
      </c>
      <c r="D31" s="157" t="str">
        <f>IF('Project 8'!H57 = 0, " ", 'Project 8'!H57)</f>
        <v xml:space="preserve"> </v>
      </c>
      <c r="E31" s="157" t="str">
        <f>IF('Project 8'!H90 = 0, " ", 'Project 8'!H90)</f>
        <v xml:space="preserve"> </v>
      </c>
      <c r="F31" s="157" t="str">
        <f>IF('Project 8'!H112 = 0, " ", 'Project 8'!H112)</f>
        <v xml:space="preserve"> </v>
      </c>
      <c r="G31" s="157" t="str">
        <f>IF('Project 8'!H126 = 0, " ", 'Project 8'!H126)</f>
        <v xml:space="preserve"> </v>
      </c>
      <c r="H31" s="158" t="str">
        <f>IF('Project 8'!G14 = 0, " ", 'Project 8'!G14)</f>
        <v xml:space="preserve"> </v>
      </c>
    </row>
    <row r="32" spans="1:8" x14ac:dyDescent="0.25">
      <c r="A32" s="155" t="str">
        <f>IF(ISBLANK('Project 9'!C11), "", (IF('Project 9'!C11 = "Other", 'Project 9'!C12, 'Project 9'!C11)))</f>
        <v/>
      </c>
      <c r="B32" s="156" t="str">
        <f>IF(ISBLANK('Project 9'!C10)," ", 'Project 9'!C10)</f>
        <v xml:space="preserve"> </v>
      </c>
      <c r="C32" s="157" t="str">
        <f>IF('Project 9'!H36 = 0, " ", 'Project 9'!H36)</f>
        <v xml:space="preserve"> </v>
      </c>
      <c r="D32" s="157" t="str">
        <f>IF('Project 9'!H57 = 0, " ", 'Project 9'!H57)</f>
        <v xml:space="preserve"> </v>
      </c>
      <c r="E32" s="157" t="str">
        <f>IF('Project 9'!H90 = 0, " ", 'Project 9'!H90)</f>
        <v xml:space="preserve"> </v>
      </c>
      <c r="F32" s="157" t="str">
        <f>IF('Project 9'!H112 = 0, " ", 'Project 9'!H112)</f>
        <v xml:space="preserve"> </v>
      </c>
      <c r="G32" s="157" t="str">
        <f>IF('Project 9'!H126 = 0, " ", 'Project 9'!H126)</f>
        <v xml:space="preserve"> </v>
      </c>
      <c r="H32" s="158" t="str">
        <f>IF('Project 9'!G14= 0, " ", 'Project 9'!G14)</f>
        <v xml:space="preserve"> </v>
      </c>
    </row>
    <row r="33" spans="1:8" x14ac:dyDescent="0.25">
      <c r="A33" s="155" t="str">
        <f>IF(ISBLANK('Project 10'!C11), "", (IF('Project 10'!C11 = "Other", 'Project 10'!C12, 'Project 10'!C11)))</f>
        <v/>
      </c>
      <c r="B33" s="156" t="str">
        <f>IF(ISBLANK('Project 10'!C10)," ", 'Project 10'!C10)</f>
        <v xml:space="preserve"> </v>
      </c>
      <c r="C33" s="157" t="str">
        <f>IF('Project 10'!H36 = 0, " ", 'Project 10'!H36)</f>
        <v xml:space="preserve"> </v>
      </c>
      <c r="D33" s="157" t="str">
        <f>IF('Project 10'!H57 = 0, " ", 'Project 10'!H57)</f>
        <v xml:space="preserve"> </v>
      </c>
      <c r="E33" s="157" t="str">
        <f>IF('Project 10'!H90 = 0, " ", 'Project 10'!H90)</f>
        <v xml:space="preserve"> </v>
      </c>
      <c r="F33" s="157" t="str">
        <f>IF('Project 10'!H112 = 0, " ", 'Project 10'!H112)</f>
        <v xml:space="preserve"> </v>
      </c>
      <c r="G33" s="157" t="str">
        <f>IF('Project 10'!H126 = 0, " ", 'Project 10'!H126)</f>
        <v xml:space="preserve"> </v>
      </c>
      <c r="H33" s="158" t="str">
        <f>IF('Project 10'!G14 = 0, " ", 'Project 10'!G14)</f>
        <v xml:space="preserve"> </v>
      </c>
    </row>
    <row r="34" spans="1:8" ht="15.75" thickBot="1" x14ac:dyDescent="0.3">
      <c r="A34" s="159" t="s">
        <v>21</v>
      </c>
      <c r="B34" s="160"/>
      <c r="C34" s="161" t="e">
        <f>SUBTOTAL(101,Table62339401071091214[Annual Administrative Cost Per Unit])</f>
        <v>#DIV/0!</v>
      </c>
      <c r="D34" s="161" t="e">
        <f>SUBTOTAL(101,Table62339401071091214[Annual Operations Cost Per Unit])</f>
        <v>#DIV/0!</v>
      </c>
      <c r="E34" s="161" t="e">
        <f>SUBTOTAL(101,Table62339401071091214[Annual Rental Assistance or Leasing Cost Per Unit])</f>
        <v>#DIV/0!</v>
      </c>
      <c r="F34" s="161" t="e">
        <f>SUBTOTAL(101,Table62339401071091214[Annual Services Cost Per Unit])</f>
        <v>#DIV/0!</v>
      </c>
      <c r="G34" s="161" t="e">
        <f>SUBTOTAL(101,Table62339401071091214[Annual Other Costs Per Unit])</f>
        <v>#DIV/0!</v>
      </c>
      <c r="H34" s="162" t="e">
        <f>SUBTOTAL(101,Table62339401071091214[Annual Cost Per Unit])</f>
        <v>#DIV/0!</v>
      </c>
    </row>
    <row r="35" spans="1:8" ht="15.75" thickTop="1" x14ac:dyDescent="0.25">
      <c r="A35" s="163"/>
      <c r="B35" s="164"/>
      <c r="C35" s="165"/>
      <c r="D35" s="165"/>
      <c r="E35" s="165"/>
      <c r="F35" s="165"/>
      <c r="G35" s="165"/>
      <c r="H35" s="166"/>
    </row>
    <row r="36" spans="1:8" ht="32.450000000000003" customHeight="1" x14ac:dyDescent="0.25">
      <c r="A36" s="266" t="s">
        <v>22</v>
      </c>
      <c r="B36" s="266"/>
      <c r="C36" s="266"/>
      <c r="D36" s="266"/>
      <c r="E36" s="266"/>
      <c r="F36" s="266"/>
      <c r="G36" s="266"/>
      <c r="H36" s="266"/>
    </row>
    <row r="37" spans="1:8" ht="4.5" customHeight="1" x14ac:dyDescent="0.25">
      <c r="A37" s="163"/>
      <c r="B37" s="164"/>
      <c r="C37" s="165"/>
      <c r="D37" s="165"/>
      <c r="E37" s="165"/>
      <c r="F37" s="165"/>
      <c r="G37" s="165"/>
      <c r="H37" s="166"/>
    </row>
    <row r="38" spans="1:8" s="154" customFormat="1" ht="21" x14ac:dyDescent="0.35">
      <c r="A38" s="268" t="s">
        <v>23</v>
      </c>
      <c r="B38" s="268"/>
      <c r="C38" s="268"/>
      <c r="D38" s="268"/>
      <c r="E38" s="268"/>
      <c r="F38" s="268"/>
      <c r="G38" s="268"/>
      <c r="H38" s="268"/>
    </row>
    <row r="39" spans="1:8" ht="6.95" customHeight="1" x14ac:dyDescent="0.25"/>
    <row r="40" spans="1:8" ht="30" x14ac:dyDescent="0.25">
      <c r="A40" s="126" t="s">
        <v>14</v>
      </c>
      <c r="B40" s="127" t="s">
        <v>15</v>
      </c>
      <c r="C40" s="127" t="s">
        <v>20</v>
      </c>
    </row>
    <row r="41" spans="1:8" x14ac:dyDescent="0.25">
      <c r="A41" s="86"/>
      <c r="B41" s="86"/>
      <c r="C41" s="87"/>
    </row>
    <row r="42" spans="1:8" x14ac:dyDescent="0.25">
      <c r="A42" s="86"/>
      <c r="B42" s="86"/>
      <c r="C42" s="87"/>
    </row>
    <row r="43" spans="1:8" x14ac:dyDescent="0.25">
      <c r="A43" s="86"/>
      <c r="B43" s="86"/>
      <c r="C43" s="87"/>
    </row>
    <row r="44" spans="1:8" x14ac:dyDescent="0.25">
      <c r="A44" s="86"/>
      <c r="B44" s="86"/>
      <c r="C44" s="87"/>
    </row>
    <row r="45" spans="1:8" x14ac:dyDescent="0.25">
      <c r="A45" s="86"/>
      <c r="B45" s="86"/>
      <c r="C45" s="87"/>
    </row>
    <row r="46" spans="1:8" x14ac:dyDescent="0.25">
      <c r="A46" s="169" t="s">
        <v>21</v>
      </c>
      <c r="B46" s="170"/>
      <c r="C46" s="171" t="e">
        <f>SUBTOTAL(101,C41:C45)</f>
        <v>#DIV/0!</v>
      </c>
    </row>
    <row r="47" spans="1:8" ht="15.75" thickBot="1" x14ac:dyDescent="0.3">
      <c r="A47" s="267" t="s">
        <v>26</v>
      </c>
      <c r="B47" s="267"/>
      <c r="C47" s="172" t="str">
        <f>IFERROR((SUM(H24:H33)+SUM(C41:C45))/(COUNT(H24:H33)+COUNT(C41:C45)),"")</f>
        <v/>
      </c>
    </row>
    <row r="48" spans="1:8" ht="15.75" thickTop="1" x14ac:dyDescent="0.25"/>
    <row r="49" spans="1:8" ht="21" x14ac:dyDescent="0.35">
      <c r="A49" s="268" t="s">
        <v>27</v>
      </c>
      <c r="B49" s="268"/>
      <c r="C49" s="268"/>
      <c r="D49" s="268"/>
      <c r="E49" s="268"/>
      <c r="F49" s="268"/>
      <c r="G49" s="268"/>
      <c r="H49" s="268"/>
    </row>
    <row r="50" spans="1:8" ht="6.95" customHeight="1" x14ac:dyDescent="0.25"/>
    <row r="51" spans="1:8" ht="75" x14ac:dyDescent="0.25">
      <c r="A51" s="173" t="s">
        <v>0</v>
      </c>
      <c r="B51" s="174" t="s">
        <v>28</v>
      </c>
      <c r="C51" s="174" t="s">
        <v>29</v>
      </c>
      <c r="D51" s="174" t="s">
        <v>30</v>
      </c>
      <c r="E51" s="174" t="s">
        <v>106</v>
      </c>
      <c r="F51" s="174" t="s">
        <v>31</v>
      </c>
      <c r="G51" s="174" t="s">
        <v>32</v>
      </c>
      <c r="H51" s="175" t="s">
        <v>33</v>
      </c>
    </row>
    <row r="52" spans="1:8" x14ac:dyDescent="0.25">
      <c r="A52" s="176" t="str">
        <f>IF(ISBLANK(D10), "", D10)</f>
        <v/>
      </c>
      <c r="B52" s="66"/>
      <c r="C52" s="67"/>
      <c r="D52" s="67"/>
      <c r="E52" s="67"/>
      <c r="F52" s="67"/>
      <c r="G52" s="67"/>
      <c r="H52" s="158">
        <f>SUM(Table6233940461081101225[[#This Row],[Average Annual Administrative Cost Per Unit]:[Average Annual Other Costs Per Unit]])</f>
        <v>0</v>
      </c>
    </row>
    <row r="54" spans="1:8" x14ac:dyDescent="0.25">
      <c r="A54" s="256" t="s">
        <v>34</v>
      </c>
      <c r="B54" s="256"/>
      <c r="C54" s="256"/>
      <c r="D54" s="256"/>
      <c r="E54" s="256"/>
      <c r="F54" s="256"/>
      <c r="G54" s="256"/>
      <c r="H54" s="256"/>
    </row>
    <row r="55" spans="1:8" x14ac:dyDescent="0.25">
      <c r="A55" s="295"/>
      <c r="B55" s="296"/>
      <c r="C55" s="296"/>
      <c r="D55" s="296"/>
      <c r="E55" s="296"/>
      <c r="F55" s="296"/>
      <c r="G55" s="296"/>
      <c r="H55" s="297"/>
    </row>
    <row r="56" spans="1:8" x14ac:dyDescent="0.25">
      <c r="A56" s="295"/>
      <c r="B56" s="296"/>
      <c r="C56" s="296"/>
      <c r="D56" s="296"/>
      <c r="E56" s="296"/>
      <c r="F56" s="296"/>
      <c r="G56" s="296"/>
      <c r="H56" s="297"/>
    </row>
    <row r="57" spans="1:8" x14ac:dyDescent="0.25">
      <c r="A57" s="295"/>
      <c r="B57" s="296"/>
      <c r="C57" s="296"/>
      <c r="D57" s="296"/>
      <c r="E57" s="296"/>
      <c r="F57" s="296"/>
      <c r="G57" s="296"/>
      <c r="H57" s="297"/>
    </row>
    <row r="58" spans="1:8" x14ac:dyDescent="0.25">
      <c r="A58" s="295"/>
      <c r="B58" s="296"/>
      <c r="C58" s="296"/>
      <c r="D58" s="296"/>
      <c r="E58" s="296"/>
      <c r="F58" s="296"/>
      <c r="G58" s="296"/>
      <c r="H58" s="297"/>
    </row>
    <row r="59" spans="1:8" x14ac:dyDescent="0.25">
      <c r="A59" s="298"/>
      <c r="B59" s="299"/>
      <c r="C59" s="299"/>
      <c r="D59" s="299"/>
      <c r="E59" s="299"/>
      <c r="F59" s="299"/>
      <c r="G59" s="299"/>
      <c r="H59" s="300"/>
    </row>
    <row r="60" spans="1:8" x14ac:dyDescent="0.25">
      <c r="A60" s="240"/>
      <c r="B60" s="240"/>
      <c r="C60" s="240"/>
      <c r="D60" s="240"/>
      <c r="E60" s="240"/>
      <c r="F60" s="240"/>
      <c r="G60" s="240"/>
      <c r="H60" s="240"/>
    </row>
    <row r="61" spans="1:8" x14ac:dyDescent="0.25">
      <c r="A61" s="240"/>
      <c r="B61" s="240"/>
      <c r="C61" s="240"/>
      <c r="D61" s="240"/>
      <c r="E61" s="240"/>
      <c r="F61" s="240"/>
      <c r="G61" s="240"/>
      <c r="H61" s="240"/>
    </row>
  </sheetData>
  <sheetProtection sheet="1" formatCells="0" formatColumns="0" formatRows="0"/>
  <dataConsolidate topLabels="1" link="1"/>
  <mergeCells count="28">
    <mergeCell ref="A4:H4"/>
    <mergeCell ref="A2:H2"/>
    <mergeCell ref="A7:H7"/>
    <mergeCell ref="A19:H19"/>
    <mergeCell ref="D15:E15"/>
    <mergeCell ref="A9:E9"/>
    <mergeCell ref="A10:C10"/>
    <mergeCell ref="A11:C11"/>
    <mergeCell ref="A12:C12"/>
    <mergeCell ref="A13:C13"/>
    <mergeCell ref="D14:E14"/>
    <mergeCell ref="D12:E12"/>
    <mergeCell ref="D13:E13"/>
    <mergeCell ref="A3:H3"/>
    <mergeCell ref="D10:E10"/>
    <mergeCell ref="D11:E11"/>
    <mergeCell ref="A14:C14"/>
    <mergeCell ref="A60:H60"/>
    <mergeCell ref="A55:H59"/>
    <mergeCell ref="A38:H38"/>
    <mergeCell ref="A61:H61"/>
    <mergeCell ref="A15:C15"/>
    <mergeCell ref="A21:H21"/>
    <mergeCell ref="A18:H18"/>
    <mergeCell ref="A54:H54"/>
    <mergeCell ref="A36:H36"/>
    <mergeCell ref="A47:B47"/>
    <mergeCell ref="A49:H49"/>
  </mergeCells>
  <phoneticPr fontId="3" type="noConversion"/>
  <hyperlinks>
    <hyperlink ref="A4:H4" r:id="rId1" display="To start, fill in the Model Project Type Information table using the information on the Project Type Matrix as completed by the system modeling workgroup. " xr:uid="{ADFE1F70-375A-4165-B055-A223074EAFA7}"/>
  </hyperlinks>
  <pageMargins left="0.7" right="0.7" top="0.75" bottom="0.75" header="0.3" footer="0.3"/>
  <pageSetup orientation="portrait" horizontalDpi="90" verticalDpi="90" r:id="rId2"/>
  <ignoredErrors>
    <ignoredError sqref="B24:C24 B33 B25 B26 B27 B28 B29 B30 B31 B32" calculatedColumn="1"/>
  </ignoredErrors>
  <tableParts count="3">
    <tablePart r:id="rId3"/>
    <tablePart r:id="rId4"/>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C8B15-7E10-4C04-811E-9572EF252476}">
  <sheetPr>
    <tabColor theme="8" tint="0.79998168889431442"/>
  </sheetPr>
  <dimension ref="A2:I134"/>
  <sheetViews>
    <sheetView showGridLines="0" zoomScaleNormal="100" workbookViewId="0">
      <selection activeCell="F16" sqref="F16"/>
    </sheetView>
  </sheetViews>
  <sheetFormatPr defaultColWidth="8.7109375" defaultRowHeight="15" outlineLevelRow="1" x14ac:dyDescent="0.25"/>
  <cols>
    <col min="1" max="1" width="27.140625" style="3" customWidth="1"/>
    <col min="2" max="2" width="21.140625" customWidth="1"/>
    <col min="3" max="3" width="18.5703125" customWidth="1"/>
    <col min="4" max="5" width="14.42578125" customWidth="1"/>
    <col min="6" max="6" width="22.85546875" style="128" customWidth="1"/>
    <col min="7" max="7" width="13.5703125" style="128" customWidth="1"/>
    <col min="8" max="8" width="13.140625" customWidth="1"/>
    <col min="9" max="9" width="10.5703125" customWidth="1"/>
    <col min="10" max="10" width="10.42578125" customWidth="1"/>
    <col min="11" max="11" width="22.5703125" customWidth="1"/>
    <col min="12" max="12" width="14.85546875" customWidth="1"/>
  </cols>
  <sheetData>
    <row r="2" spans="1:8" ht="26.25" x14ac:dyDescent="0.4">
      <c r="A2" s="288" t="str">
        <f>CONCATENATE("Comparable Projects for ", 'Model Project Type'!D10, " Cost Assumptions")</f>
        <v>Comparable Projects for  Cost Assumptions</v>
      </c>
      <c r="B2" s="288"/>
      <c r="C2" s="288"/>
      <c r="D2" s="288"/>
      <c r="E2" s="288"/>
      <c r="F2" s="288"/>
      <c r="G2" s="288"/>
      <c r="H2" s="288"/>
    </row>
    <row r="3" spans="1:8" ht="19.5" customHeight="1" x14ac:dyDescent="0.25"/>
    <row r="4" spans="1:8" ht="26.1" customHeight="1" x14ac:dyDescent="0.4">
      <c r="A4" s="273" t="s">
        <v>1</v>
      </c>
      <c r="B4" s="273"/>
      <c r="C4" s="273"/>
      <c r="D4" s="273"/>
    </row>
    <row r="5" spans="1:8" ht="30.6" customHeight="1" x14ac:dyDescent="0.25">
      <c r="A5" s="292" t="s">
        <v>109</v>
      </c>
      <c r="B5" s="292"/>
      <c r="C5" s="293" t="str">
        <f>IF('Model Project Type'!D10 = 0, " ", 'Model Project Type'!D10)</f>
        <v xml:space="preserve"> </v>
      </c>
      <c r="D5" s="293"/>
    </row>
    <row r="6" spans="1:8" ht="20.100000000000001" customHeight="1" x14ac:dyDescent="0.25">
      <c r="A6"/>
      <c r="F6"/>
      <c r="G6"/>
    </row>
    <row r="7" spans="1:8" ht="26.1" customHeight="1" x14ac:dyDescent="0.4">
      <c r="A7" s="273" t="s">
        <v>35</v>
      </c>
      <c r="B7" s="273"/>
      <c r="C7" s="273"/>
      <c r="D7" s="273"/>
    </row>
    <row r="8" spans="1:8" ht="5.45" customHeight="1" x14ac:dyDescent="0.4">
      <c r="A8" s="36"/>
      <c r="B8" s="36"/>
      <c r="C8" s="36"/>
      <c r="D8" s="36"/>
      <c r="F8" s="129"/>
      <c r="G8" s="129"/>
    </row>
    <row r="9" spans="1:8" ht="20.100000000000001" customHeight="1" x14ac:dyDescent="0.25">
      <c r="A9" s="289" t="s">
        <v>36</v>
      </c>
      <c r="B9" s="289"/>
      <c r="C9" s="289"/>
      <c r="D9" s="289"/>
      <c r="F9" s="308" t="s">
        <v>37</v>
      </c>
      <c r="G9" s="308"/>
    </row>
    <row r="10" spans="1:8" ht="19.7" customHeight="1" x14ac:dyDescent="0.25">
      <c r="A10" s="290" t="s">
        <v>38</v>
      </c>
      <c r="B10" s="290"/>
      <c r="C10" s="311"/>
      <c r="D10" s="311"/>
      <c r="F10" s="108" t="s">
        <v>68</v>
      </c>
      <c r="G10" s="111">
        <f>H129</f>
        <v>0</v>
      </c>
    </row>
    <row r="11" spans="1:8" ht="19.7" customHeight="1" x14ac:dyDescent="0.25">
      <c r="A11" s="286" t="s">
        <v>39</v>
      </c>
      <c r="B11" s="286"/>
      <c r="C11" s="310"/>
      <c r="D11" s="310"/>
      <c r="F11" s="108" t="s">
        <v>63</v>
      </c>
      <c r="G11" s="111">
        <f>H130</f>
        <v>0</v>
      </c>
    </row>
    <row r="12" spans="1:8" ht="19.7" customHeight="1" x14ac:dyDescent="0.25">
      <c r="A12" s="287" t="s">
        <v>40</v>
      </c>
      <c r="B12" s="287"/>
      <c r="C12" s="307"/>
      <c r="D12" s="307"/>
      <c r="F12" s="108" t="s">
        <v>58</v>
      </c>
      <c r="G12" s="111">
        <f>H131</f>
        <v>0</v>
      </c>
    </row>
    <row r="13" spans="1:8" ht="19.7" customHeight="1" thickBot="1" x14ac:dyDescent="0.3">
      <c r="A13" s="286" t="s">
        <v>41</v>
      </c>
      <c r="B13" s="286"/>
      <c r="C13" s="307"/>
      <c r="D13" s="307"/>
      <c r="F13" s="114" t="s">
        <v>207</v>
      </c>
      <c r="G13" s="117">
        <f>H132</f>
        <v>0</v>
      </c>
    </row>
    <row r="14" spans="1:8" ht="19.7" customHeight="1" thickTop="1" thickBot="1" x14ac:dyDescent="0.3">
      <c r="A14" s="7"/>
      <c r="B14" s="40"/>
      <c r="C14" s="35"/>
      <c r="D14" s="34"/>
      <c r="F14" s="130" t="s">
        <v>42</v>
      </c>
      <c r="G14" s="117">
        <f>H133</f>
        <v>0</v>
      </c>
    </row>
    <row r="15" spans="1:8" ht="19.7" customHeight="1" thickTop="1" x14ac:dyDescent="0.25">
      <c r="A15" s="280" t="s">
        <v>43</v>
      </c>
      <c r="B15" s="280"/>
      <c r="C15" s="280"/>
      <c r="D15" s="280"/>
    </row>
    <row r="16" spans="1:8" ht="44.45" customHeight="1" x14ac:dyDescent="0.25">
      <c r="A16" s="281" t="s">
        <v>44</v>
      </c>
      <c r="B16" s="282"/>
      <c r="C16" s="282"/>
      <c r="D16" s="282"/>
    </row>
    <row r="17" spans="1:9" ht="18.600000000000001" customHeight="1" x14ac:dyDescent="0.25">
      <c r="A17" s="283" t="s">
        <v>45</v>
      </c>
      <c r="B17" s="283"/>
      <c r="C17" s="309"/>
      <c r="D17" s="309"/>
    </row>
    <row r="18" spans="1:9" ht="44.45" customHeight="1" x14ac:dyDescent="0.25">
      <c r="A18" s="275" t="s">
        <v>46</v>
      </c>
      <c r="B18" s="275"/>
      <c r="C18" s="310"/>
      <c r="D18" s="310"/>
    </row>
    <row r="19" spans="1:9" ht="44.45" customHeight="1" x14ac:dyDescent="0.25">
      <c r="A19" s="275" t="s">
        <v>47</v>
      </c>
      <c r="B19" s="275"/>
      <c r="C19" s="307"/>
      <c r="D19" s="307"/>
    </row>
    <row r="20" spans="1:9" ht="14.1" customHeight="1" x14ac:dyDescent="0.25">
      <c r="A20" s="33"/>
      <c r="B20" s="33"/>
      <c r="C20" s="39"/>
      <c r="D20" s="35"/>
    </row>
    <row r="21" spans="1:9" ht="17.45" customHeight="1" x14ac:dyDescent="0.25">
      <c r="A21" s="4"/>
      <c r="B21" s="4"/>
      <c r="C21" s="35"/>
      <c r="D21" s="35"/>
    </row>
    <row r="22" spans="1:9" ht="21" customHeight="1" x14ac:dyDescent="0.4">
      <c r="A22" s="277" t="s">
        <v>48</v>
      </c>
      <c r="B22" s="277"/>
      <c r="C22" s="277"/>
      <c r="D22" s="277"/>
      <c r="E22" s="277"/>
      <c r="F22" s="277"/>
      <c r="G22" s="277"/>
      <c r="H22" s="277"/>
    </row>
    <row r="23" spans="1:9" ht="6.6" customHeight="1" x14ac:dyDescent="0.25">
      <c r="A23" s="32"/>
      <c r="B23" s="30"/>
      <c r="C23" s="30"/>
      <c r="D23" s="30"/>
      <c r="F23" s="129"/>
      <c r="G23" s="129"/>
    </row>
    <row r="24" spans="1:9" x14ac:dyDescent="0.25">
      <c r="A24" s="274" t="s">
        <v>49</v>
      </c>
      <c r="B24" s="274"/>
      <c r="C24" s="274"/>
      <c r="D24" s="274"/>
      <c r="E24" s="274"/>
      <c r="F24" s="274"/>
      <c r="G24" s="274"/>
      <c r="H24" s="274"/>
    </row>
    <row r="25" spans="1:9" ht="30.75" customHeight="1" outlineLevel="1" x14ac:dyDescent="0.25">
      <c r="A25" s="294" t="s">
        <v>50</v>
      </c>
      <c r="B25" s="294"/>
      <c r="C25" s="294"/>
      <c r="D25" s="294"/>
      <c r="E25" s="294"/>
      <c r="F25" s="294"/>
      <c r="G25" s="294"/>
      <c r="H25" s="294"/>
    </row>
    <row r="26" spans="1:9" s="3" customFormat="1" ht="28.35" customHeight="1" x14ac:dyDescent="0.25">
      <c r="A26" s="131" t="s">
        <v>51</v>
      </c>
      <c r="B26" s="131" t="s">
        <v>52</v>
      </c>
      <c r="C26" s="131" t="s">
        <v>53</v>
      </c>
      <c r="D26" s="131" t="s">
        <v>54</v>
      </c>
      <c r="E26" s="131" t="s">
        <v>55</v>
      </c>
      <c r="F26" s="131" t="s">
        <v>56</v>
      </c>
      <c r="G26" s="131" t="s">
        <v>57</v>
      </c>
      <c r="H26" s="132" t="s">
        <v>20</v>
      </c>
    </row>
    <row r="27" spans="1:9" x14ac:dyDescent="0.25">
      <c r="A27" s="75"/>
      <c r="B27" s="76"/>
      <c r="C27" s="77"/>
      <c r="D27" s="78"/>
      <c r="E27" s="79"/>
      <c r="F27" s="79"/>
      <c r="G27" s="53" t="e" cm="1">
        <f t="array" ref="G27">_xlfn.IFS(Administrative17667176818691961011061111161231281331381431481531585196[[#This Row],[Unit]]="Program-wide",((_xlfn.IFS(Administrative17667176818691961011061111161231281331381431481531585196[[#This Row],[Frequency]]="Per Year",Administrative17667176818691961011061111161231281331381431481531585196[[#This Row],[Cost]]/12,Administrative17667176818691961011061111161231281331381431481531585196[[#This Row],[Frequency]]="Per month",Administrative17667176818691961011061111161231281331381431481531585196[[#This Row],[Cost]],Administrative17667176818691961011061111161231281331381431481531585196[[#This Row],[Frequency]]="Per day",Administrative17667176818691961011061111161231281331381431481531585196[[#This Row],[Cost]]*30,Administrative17667176818691961011061111161231281331381431481531585196[[#This Row],[Frequency]]="One-time",Administrative17667176818691961011061111161231281331381431481531585196[[#This Row],[Cost]]/SUM(C18,C19)))/$C$17),Administrative17667176818691961011061111161231281331381431481531585196[[#This Row],[Unit]]="Per unit/space/household",(_xlfn.IFS(Administrative17667176818691961011061111161231281331381431481531585196[[#This Row],[Frequency]]="Per Year",Administrative17667176818691961011061111161231281331381431481531585196[[#This Row],[Cost]]/12,Administrative17667176818691961011061111161231281331381431481531585196[[#This Row],[Frequency]]="Per month",Administrative17667176818691961011061111161231281331381431481531585196[[#This Row],[Cost]],Administrative17667176818691961011061111161231281331381431481531585196[[#This Row],[Frequency]]="Per day",Administrative17667176818691961011061111161231281331381431481531585196[[#This Row],[Cost]]*30,Administrative17667176818691961011061111161231281331381431481531585196[[#This Row],[Frequency]]="One-time",Administrative17667176818691961011061111161231281331381431481531585196[[#This Row],[Cost]]/SUM($C$18,$C$19))))</f>
        <v>#N/A</v>
      </c>
      <c r="H27" s="46" t="e">
        <f>Administrative17667176818691961011061111161231281331381431481531585196[[#This Row],[Monthly Cost Per Unit]]*12</f>
        <v>#N/A</v>
      </c>
    </row>
    <row r="28" spans="1:9" x14ac:dyDescent="0.25">
      <c r="A28" s="75"/>
      <c r="B28" s="76"/>
      <c r="C28" s="77"/>
      <c r="D28" s="78"/>
      <c r="E28" s="79"/>
      <c r="F28" s="79"/>
      <c r="G28" s="53" t="e" cm="1">
        <f t="array" ref="G28">_xlfn.IFS(Administrative17667176818691961011061111161231281331381431481531585196[[#This Row],[Unit]]="Program-wide",((_xlfn.IFS(Administrative17667176818691961011061111161231281331381431481531585196[[#This Row],[Frequency]]="Per Year",Administrative17667176818691961011061111161231281331381431481531585196[[#This Row],[Cost]]/12,Administrative17667176818691961011061111161231281331381431481531585196[[#This Row],[Frequency]]="Per month",Administrative17667176818691961011061111161231281331381431481531585196[[#This Row],[Cost]],Administrative17667176818691961011061111161231281331381431481531585196[[#This Row],[Frequency]]="Per day",Administrative17667176818691961011061111161231281331381431481531585196[[#This Row],[Cost]]*30,Administrative17667176818691961011061111161231281331381431481531585196[[#This Row],[Frequency]]="One-time",Administrative17667176818691961011061111161231281331381431481531585196[[#This Row],[Cost]]/SUM(C18,C19)))/$C$17),Administrative17667176818691961011061111161231281331381431481531585196[[#This Row],[Unit]]="Per unit/space/household",(_xlfn.IFS(Administrative17667176818691961011061111161231281331381431481531585196[[#This Row],[Frequency]]="Per Year",Administrative17667176818691961011061111161231281331381431481531585196[[#This Row],[Cost]]/12,Administrative17667176818691961011061111161231281331381431481531585196[[#This Row],[Frequency]]="Per month",Administrative17667176818691961011061111161231281331381431481531585196[[#This Row],[Cost]],Administrative17667176818691961011061111161231281331381431481531585196[[#This Row],[Frequency]]="Per day",Administrative17667176818691961011061111161231281331381431481531585196[[#This Row],[Cost]]*30,Administrative17667176818691961011061111161231281331381431481531585196[[#This Row],[Frequency]]="One-time",Administrative17667176818691961011061111161231281331381431481531585196[[#This Row],[Cost]]/SUM($C$18,$C$19))))</f>
        <v>#N/A</v>
      </c>
      <c r="H28" s="46" t="e">
        <f>Administrative17667176818691961011061111161231281331381431481531585196[[#This Row],[Monthly Cost Per Unit]]*12</f>
        <v>#N/A</v>
      </c>
    </row>
    <row r="29" spans="1:9" x14ac:dyDescent="0.25">
      <c r="A29" s="75"/>
      <c r="B29" s="76"/>
      <c r="C29" s="77"/>
      <c r="D29" s="78"/>
      <c r="E29" s="79"/>
      <c r="F29" s="79"/>
      <c r="G29" s="53" t="e" cm="1">
        <f t="array" ref="G29">_xlfn.IFS(Administrative17667176818691961011061111161231281331381431481531585196[[#This Row],[Unit]]="Program-wide",((_xlfn.IFS(Administrative17667176818691961011061111161231281331381431481531585196[[#This Row],[Frequency]]="Per Year",Administrative17667176818691961011061111161231281331381431481531585196[[#This Row],[Cost]]/12,Administrative17667176818691961011061111161231281331381431481531585196[[#This Row],[Frequency]]="Per month",Administrative17667176818691961011061111161231281331381431481531585196[[#This Row],[Cost]],Administrative17667176818691961011061111161231281331381431481531585196[[#This Row],[Frequency]]="Per day",Administrative17667176818691961011061111161231281331381431481531585196[[#This Row],[Cost]]*30,Administrative17667176818691961011061111161231281331381431481531585196[[#This Row],[Frequency]]="One-time",Administrative17667176818691961011061111161231281331381431481531585196[[#This Row],[Cost]]/SUM(C18,C19)))/$C$17),Administrative17667176818691961011061111161231281331381431481531585196[[#This Row],[Unit]]="Per unit/space/household",(_xlfn.IFS(Administrative17667176818691961011061111161231281331381431481531585196[[#This Row],[Frequency]]="Per Year",Administrative17667176818691961011061111161231281331381431481531585196[[#This Row],[Cost]]/12,Administrative17667176818691961011061111161231281331381431481531585196[[#This Row],[Frequency]]="Per month",Administrative17667176818691961011061111161231281331381431481531585196[[#This Row],[Cost]],Administrative17667176818691961011061111161231281331381431481531585196[[#This Row],[Frequency]]="Per day",Administrative17667176818691961011061111161231281331381431481531585196[[#This Row],[Cost]]*30,Administrative17667176818691961011061111161231281331381431481531585196[[#This Row],[Frequency]]="One-time",Administrative17667176818691961011061111161231281331381431481531585196[[#This Row],[Cost]]/SUM($C$18,$C$19))))</f>
        <v>#N/A</v>
      </c>
      <c r="H29" s="46" t="e">
        <f>Administrative17667176818691961011061111161231281331381431481531585196[[#This Row],[Monthly Cost Per Unit]]*12</f>
        <v>#N/A</v>
      </c>
    </row>
    <row r="30" spans="1:9" x14ac:dyDescent="0.25">
      <c r="A30" s="75"/>
      <c r="B30" s="76"/>
      <c r="C30" s="77"/>
      <c r="D30" s="78"/>
      <c r="E30" s="79"/>
      <c r="F30" s="79"/>
      <c r="G30" s="53" t="e" cm="1">
        <f t="array" ref="G30">_xlfn.IFS(Administrative17667176818691961011061111161231281331381431481531585196[[#This Row],[Unit]]="Program-wide",((_xlfn.IFS(Administrative17667176818691961011061111161231281331381431481531585196[[#This Row],[Frequency]]="Per Year",Administrative17667176818691961011061111161231281331381431481531585196[[#This Row],[Cost]]/12,Administrative17667176818691961011061111161231281331381431481531585196[[#This Row],[Frequency]]="Per month",Administrative17667176818691961011061111161231281331381431481531585196[[#This Row],[Cost]],Administrative17667176818691961011061111161231281331381431481531585196[[#This Row],[Frequency]]="Per day",Administrative17667176818691961011061111161231281331381431481531585196[[#This Row],[Cost]]*30,Administrative17667176818691961011061111161231281331381431481531585196[[#This Row],[Frequency]]="One-time",Administrative17667176818691961011061111161231281331381431481531585196[[#This Row],[Cost]]/SUM(C18,C19)))/$C$17),Administrative17667176818691961011061111161231281331381431481531585196[[#This Row],[Unit]]="Per unit/space/household",(_xlfn.IFS(Administrative17667176818691961011061111161231281331381431481531585196[[#This Row],[Frequency]]="Per Year",Administrative17667176818691961011061111161231281331381431481531585196[[#This Row],[Cost]]/12,Administrative17667176818691961011061111161231281331381431481531585196[[#This Row],[Frequency]]="Per month",Administrative17667176818691961011061111161231281331381431481531585196[[#This Row],[Cost]],Administrative17667176818691961011061111161231281331381431481531585196[[#This Row],[Frequency]]="Per day",Administrative17667176818691961011061111161231281331381431481531585196[[#This Row],[Cost]]*30,Administrative17667176818691961011061111161231281331381431481531585196[[#This Row],[Frequency]]="One-time",Administrative17667176818691961011061111161231281331381431481531585196[[#This Row],[Cost]]/SUM($C$18,$C$19))))</f>
        <v>#N/A</v>
      </c>
      <c r="H30" s="46" t="e">
        <f>Administrative17667176818691961011061111161231281331381431481531585196[[#This Row],[Monthly Cost Per Unit]]*12</f>
        <v>#N/A</v>
      </c>
    </row>
    <row r="31" spans="1:9" s="1" customFormat="1" x14ac:dyDescent="0.25">
      <c r="A31" s="80"/>
      <c r="B31" s="81"/>
      <c r="C31" s="82"/>
      <c r="D31" s="83"/>
      <c r="E31" s="84"/>
      <c r="F31" s="84"/>
      <c r="G31" s="54" t="e" cm="1">
        <f t="array" ref="G31">_xlfn.IFS(Administrative17667176818691961011061111161231281331381431481531585196[[#This Row],[Unit]]="Program-wide",((_xlfn.IFS(Administrative17667176818691961011061111161231281331381431481531585196[[#This Row],[Frequency]]="Per Year",Administrative17667176818691961011061111161231281331381431481531585196[[#This Row],[Cost]]/12,Administrative17667176818691961011061111161231281331381431481531585196[[#This Row],[Frequency]]="Per month",Administrative17667176818691961011061111161231281331381431481531585196[[#This Row],[Cost]],Administrative17667176818691961011061111161231281331381431481531585196[[#This Row],[Frequency]]="Per day",Administrative17667176818691961011061111161231281331381431481531585196[[#This Row],[Cost]]*30,Administrative17667176818691961011061111161231281331381431481531585196[[#This Row],[Frequency]]="One-time",Administrative17667176818691961011061111161231281331381431481531585196[[#This Row],[Cost]]/SUM(C18,C19)))/$C$17),Administrative17667176818691961011061111161231281331381431481531585196[[#This Row],[Unit]]="Per unit/space/household",(_xlfn.IFS(Administrative17667176818691961011061111161231281331381431481531585196[[#This Row],[Frequency]]="Per Year",Administrative17667176818691961011061111161231281331381431481531585196[[#This Row],[Cost]]/12,Administrative17667176818691961011061111161231281331381431481531585196[[#This Row],[Frequency]]="Per month",Administrative17667176818691961011061111161231281331381431481531585196[[#This Row],[Cost]],Administrative17667176818691961011061111161231281331381431481531585196[[#This Row],[Frequency]]="Per day",Administrative17667176818691961011061111161231281331381431481531585196[[#This Row],[Cost]]*30,Administrative17667176818691961011061111161231281331381431481531585196[[#This Row],[Frequency]]="One-time",Administrative17667176818691961011061111161231281331381431481531585196[[#This Row],[Cost]]/SUM($C$18,$C$19))))</f>
        <v>#N/A</v>
      </c>
      <c r="H31" s="46" t="e">
        <f>Administrative17667176818691961011061111161231281331381431481531585196[[#This Row],[Monthly Cost Per Unit]]*12</f>
        <v>#N/A</v>
      </c>
      <c r="I31"/>
    </row>
    <row r="32" spans="1:9" x14ac:dyDescent="0.25">
      <c r="A32" s="107" t="s">
        <v>20</v>
      </c>
      <c r="B32" s="107"/>
      <c r="C32" s="108" t="s">
        <v>68</v>
      </c>
      <c r="D32" s="109"/>
      <c r="E32" s="108"/>
      <c r="F32" s="108"/>
      <c r="G32" s="110"/>
      <c r="H32" s="111">
        <f>(SUMIF(Administrative17667176818691961011061111161231281331381431481531585196[Duration],"While homeless only",Administrative17667176818691961011061111161231281331381431481531585196[Monthly Cost Per Unit]))*12</f>
        <v>0</v>
      </c>
    </row>
    <row r="33" spans="1:8" x14ac:dyDescent="0.25">
      <c r="A33" s="112"/>
      <c r="B33" s="112"/>
      <c r="C33" s="108" t="s">
        <v>63</v>
      </c>
      <c r="D33" s="109"/>
      <c r="E33" s="108"/>
      <c r="F33" s="108"/>
      <c r="G33" s="110"/>
      <c r="H33" s="111">
        <f>(SUMIF(Administrative17667176818691961011061111161231281331381431481531585196[Duration],"While housed only",Administrative17667176818691961011061111161231281331381431481531585196[Monthly Cost Per Unit]))*12</f>
        <v>0</v>
      </c>
    </row>
    <row r="34" spans="1:8" x14ac:dyDescent="0.25">
      <c r="A34" s="112"/>
      <c r="B34" s="112"/>
      <c r="C34" s="108" t="s">
        <v>58</v>
      </c>
      <c r="D34" s="109"/>
      <c r="E34" s="108"/>
      <c r="F34" s="108"/>
      <c r="G34" s="110"/>
      <c r="H34" s="111">
        <f>(SUMIF(Administrative17667176818691961011061111161231281331381431481531585196[Duration],"Homeless &amp; housed",Administrative17667176818691961011061111161231281331381431481531585196[Monthly Cost Per Unit]))*12</f>
        <v>0</v>
      </c>
    </row>
    <row r="35" spans="1:8" ht="15.75" thickBot="1" x14ac:dyDescent="0.3">
      <c r="A35" s="113"/>
      <c r="B35" s="113"/>
      <c r="C35" s="114" t="s">
        <v>207</v>
      </c>
      <c r="D35" s="115"/>
      <c r="E35" s="114"/>
      <c r="F35" s="114"/>
      <c r="G35" s="116"/>
      <c r="H35" s="117">
        <f>(SUMIF(Administrative17667176818691961011061111161231281331381431481531585196[Duration],"N/A",Administrative17667176818691961011061111161231281331381431481531585196[Monthly Cost Per Unit]))*12</f>
        <v>0</v>
      </c>
    </row>
    <row r="36" spans="1:8" ht="16.5" thickTop="1" thickBot="1" x14ac:dyDescent="0.3">
      <c r="A36" s="113"/>
      <c r="B36" s="113"/>
      <c r="C36" s="114" t="s">
        <v>42</v>
      </c>
      <c r="D36" s="115"/>
      <c r="E36" s="114"/>
      <c r="F36" s="114"/>
      <c r="G36" s="133"/>
      <c r="H36" s="117">
        <f>SUM(H32:H35)</f>
        <v>0</v>
      </c>
    </row>
    <row r="37" spans="1:8" ht="15.75" thickTop="1" x14ac:dyDescent="0.25">
      <c r="A37" s="10"/>
      <c r="B37" s="10"/>
      <c r="C37" s="10"/>
      <c r="D37" s="10"/>
      <c r="F37" s="129"/>
      <c r="G37" s="129"/>
    </row>
    <row r="38" spans="1:8" x14ac:dyDescent="0.25">
      <c r="A38" s="274" t="s">
        <v>61</v>
      </c>
      <c r="B38" s="274"/>
      <c r="C38" s="274"/>
      <c r="D38" s="274"/>
      <c r="E38" s="274"/>
      <c r="F38" s="274"/>
      <c r="G38" s="274"/>
      <c r="H38" s="274"/>
    </row>
    <row r="39" spans="1:8" ht="30" customHeight="1" outlineLevel="1" x14ac:dyDescent="0.25">
      <c r="A39" s="294" t="s">
        <v>62</v>
      </c>
      <c r="B39" s="294"/>
      <c r="C39" s="294"/>
      <c r="D39" s="294"/>
      <c r="E39" s="294"/>
      <c r="F39" s="294"/>
      <c r="G39" s="294"/>
      <c r="H39" s="294"/>
    </row>
    <row r="40" spans="1:8" s="3" customFormat="1" ht="28.35" customHeight="1" x14ac:dyDescent="0.25">
      <c r="A40" s="131" t="s">
        <v>51</v>
      </c>
      <c r="B40" s="131" t="s">
        <v>52</v>
      </c>
      <c r="C40" s="131" t="s">
        <v>53</v>
      </c>
      <c r="D40" s="131" t="s">
        <v>54</v>
      </c>
      <c r="E40" s="131" t="s">
        <v>55</v>
      </c>
      <c r="F40" s="131" t="s">
        <v>56</v>
      </c>
      <c r="G40" s="131" t="s">
        <v>57</v>
      </c>
      <c r="H40" s="132" t="s">
        <v>20</v>
      </c>
    </row>
    <row r="41" spans="1:8" x14ac:dyDescent="0.25">
      <c r="A41" s="75"/>
      <c r="B41" s="76"/>
      <c r="C41" s="88"/>
      <c r="D41" s="89"/>
      <c r="E41" s="79"/>
      <c r="F41" s="79"/>
      <c r="G41" s="53" t="e" cm="1">
        <f t="array" ref="G41">_xlfn.IFS(Operations18677277828792971021071121171241291341391441491541595297[[#This Row],[Unit]]="Program-wide",((_xlfn.IFS(Operations18677277828792971021071121171241291341391441491541595297[[#This Row],[Frequency]]="Per Year",Operations18677277828792971021071121171241291341391441491541595297[[#This Row],[Cost]]/12,Operations18677277828792971021071121171241291341391441491541595297[[#This Row],[Frequency]]="Per month",Operations18677277828792971021071121171241291341391441491541595297[[#This Row],[Cost]],Operations18677277828792971021071121171241291341391441491541595297[[#This Row],[Frequency]]="Per day",Operations18677277828792971021071121171241291341391441491541595297[[#This Row],[Cost]]*30,Operations18677277828792971021071121171241291341391441491541595297[[#This Row],[Frequency]]="One-time",Operations18677277828792971021071121171241291341391441491541595297[[#This Row],[Cost]]/SUM(C18,C19)))/$C$17),Operations18677277828792971021071121171241291341391441491541595297[[#This Row],[Unit]]="Per unit/space/household",(_xlfn.IFS(Operations18677277828792971021071121171241291341391441491541595297[[#This Row],[Frequency]]="Per Year",Operations18677277828792971021071121171241291341391441491541595297[[#This Row],[Cost]]/12,Operations18677277828792971021071121171241291341391441491541595297[[#This Row],[Frequency]]="Per month",Operations18677277828792971021071121171241291341391441491541595297[[#This Row],[Cost]],Operations18677277828792971021071121171241291341391441491541595297[[#This Row],[Frequency]]="Per day",Operations18677277828792971021071121171241291341391441491541595297[[#This Row],[Cost]]*30,Operations18677277828792971021071121171241291341391441491541595297[[#This Row],[Frequency]]="One-time",Operations18677277828792971021071121171241291341391441491541595297[[#This Row],[Cost]]/SUM($C$18,$C$19))))</f>
        <v>#N/A</v>
      </c>
      <c r="H41" s="46" t="e">
        <f>Operations18677277828792971021071121171241291341391441491541595297[[#This Row],[Monthly Cost Per Unit]]*12</f>
        <v>#N/A</v>
      </c>
    </row>
    <row r="42" spans="1:8" x14ac:dyDescent="0.25">
      <c r="A42" s="75"/>
      <c r="B42" s="76"/>
      <c r="C42" s="77"/>
      <c r="D42" s="78"/>
      <c r="E42" s="79"/>
      <c r="F42" s="79"/>
      <c r="G42" s="53" t="e" cm="1">
        <f t="array" ref="G42">_xlfn.IFS(Operations18677277828792971021071121171241291341391441491541595297[[#This Row],[Unit]]="Program-wide",((_xlfn.IFS(Operations18677277828792971021071121171241291341391441491541595297[[#This Row],[Frequency]]="Per Year",Operations18677277828792971021071121171241291341391441491541595297[[#This Row],[Cost]]/12,Operations18677277828792971021071121171241291341391441491541595297[[#This Row],[Frequency]]="Per month",Operations18677277828792971021071121171241291341391441491541595297[[#This Row],[Cost]],Operations18677277828792971021071121171241291341391441491541595297[[#This Row],[Frequency]]="Per day",Operations18677277828792971021071121171241291341391441491541595297[[#This Row],[Cost]]*30,Operations18677277828792971021071121171241291341391441491541595297[[#This Row],[Frequency]]="One-time",Operations18677277828792971021071121171241291341391441491541595297[[#This Row],[Cost]]/SUM($C$18,$C$19)))/$C$17),Operations18677277828792971021071121171241291341391441491541595297[[#This Row],[Unit]]="Per unit/space/household",(_xlfn.IFS(Operations18677277828792971021071121171241291341391441491541595297[[#This Row],[Frequency]]="Per Year",Operations18677277828792971021071121171241291341391441491541595297[[#This Row],[Cost]]/12,Operations18677277828792971021071121171241291341391441491541595297[[#This Row],[Frequency]]="Per month",Operations18677277828792971021071121171241291341391441491541595297[[#This Row],[Cost]],Operations18677277828792971021071121171241291341391441491541595297[[#This Row],[Frequency]]="Per day",Operations18677277828792971021071121171241291341391441491541595297[[#This Row],[Cost]]*30,Operations18677277828792971021071121171241291341391441491541595297[[#This Row],[Frequency]]="One-time",Operations18677277828792971021071121171241291341391441491541595297[[#This Row],[Cost]]/SUM($C$18,$C$19))))</f>
        <v>#N/A</v>
      </c>
      <c r="H42" s="46" t="e">
        <f>Operations18677277828792971021071121171241291341391441491541595297[[#This Row],[Monthly Cost Per Unit]]*12</f>
        <v>#N/A</v>
      </c>
    </row>
    <row r="43" spans="1:8" x14ac:dyDescent="0.25">
      <c r="A43" s="75"/>
      <c r="B43" s="76"/>
      <c r="C43" s="77"/>
      <c r="D43" s="78"/>
      <c r="E43" s="79"/>
      <c r="F43" s="79"/>
      <c r="G43" s="53" t="e" cm="1">
        <f t="array" ref="G43">_xlfn.IFS(Operations18677277828792971021071121171241291341391441491541595297[[#This Row],[Unit]]="Program-wide",((_xlfn.IFS(Operations18677277828792971021071121171241291341391441491541595297[[#This Row],[Frequency]]="Per Year",Operations18677277828792971021071121171241291341391441491541595297[[#This Row],[Cost]]/12,Operations18677277828792971021071121171241291341391441491541595297[[#This Row],[Frequency]]="Per month",Operations18677277828792971021071121171241291341391441491541595297[[#This Row],[Cost]],Operations18677277828792971021071121171241291341391441491541595297[[#This Row],[Frequency]]="Per day",Operations18677277828792971021071121171241291341391441491541595297[[#This Row],[Cost]]*30,Operations18677277828792971021071121171241291341391441491541595297[[#This Row],[Frequency]]="One-time",Operations18677277828792971021071121171241291341391441491541595297[[#This Row],[Cost]]/SUM($C$18,$C$19)))/$C$17),Operations18677277828792971021071121171241291341391441491541595297[[#This Row],[Unit]]="Per unit/space/household",(_xlfn.IFS(Operations18677277828792971021071121171241291341391441491541595297[[#This Row],[Frequency]]="Per Year",Operations18677277828792971021071121171241291341391441491541595297[[#This Row],[Cost]]/12,Operations18677277828792971021071121171241291341391441491541595297[[#This Row],[Frequency]]="Per month",Operations18677277828792971021071121171241291341391441491541595297[[#This Row],[Cost]],Operations18677277828792971021071121171241291341391441491541595297[[#This Row],[Frequency]]="Per day",Operations18677277828792971021071121171241291341391441491541595297[[#This Row],[Cost]]*30,Operations18677277828792971021071121171241291341391441491541595297[[#This Row],[Frequency]]="One-time",Operations18677277828792971021071121171241291341391441491541595297[[#This Row],[Cost]]/SUM($C$18,$C$19))))</f>
        <v>#N/A</v>
      </c>
      <c r="H43" s="46" t="e">
        <f>Operations18677277828792971021071121171241291341391441491541595297[[#This Row],[Monthly Cost Per Unit]]*12</f>
        <v>#N/A</v>
      </c>
    </row>
    <row r="44" spans="1:8" x14ac:dyDescent="0.25">
      <c r="A44" s="75"/>
      <c r="B44" s="76"/>
      <c r="C44" s="77"/>
      <c r="D44" s="78"/>
      <c r="E44" s="79"/>
      <c r="F44" s="79"/>
      <c r="G44" s="53" t="e" cm="1">
        <f t="array" ref="G44">_xlfn.IFS(Operations18677277828792971021071121171241291341391441491541595297[[#This Row],[Unit]]="Program-wide",((_xlfn.IFS(Operations18677277828792971021071121171241291341391441491541595297[[#This Row],[Frequency]]="Per Year",Operations18677277828792971021071121171241291341391441491541595297[[#This Row],[Cost]]/12,Operations18677277828792971021071121171241291341391441491541595297[[#This Row],[Frequency]]="Per month",Operations18677277828792971021071121171241291341391441491541595297[[#This Row],[Cost]],Operations18677277828792971021071121171241291341391441491541595297[[#This Row],[Frequency]]="Per day",Operations18677277828792971021071121171241291341391441491541595297[[#This Row],[Cost]]*30,Operations18677277828792971021071121171241291341391441491541595297[[#This Row],[Frequency]]="One-time",Operations18677277828792971021071121171241291341391441491541595297[[#This Row],[Cost]]/SUM($C$18,$C$19)))/$C$17),Operations18677277828792971021071121171241291341391441491541595297[[#This Row],[Unit]]="Per unit/space/household",(_xlfn.IFS(Operations18677277828792971021071121171241291341391441491541595297[[#This Row],[Frequency]]="Per Year",Operations18677277828792971021071121171241291341391441491541595297[[#This Row],[Cost]]/12,Operations18677277828792971021071121171241291341391441491541595297[[#This Row],[Frequency]]="Per month",Operations18677277828792971021071121171241291341391441491541595297[[#This Row],[Cost]],Operations18677277828792971021071121171241291341391441491541595297[[#This Row],[Frequency]]="Per day",Operations18677277828792971021071121171241291341391441491541595297[[#This Row],[Cost]]*30,Operations18677277828792971021071121171241291341391441491541595297[[#This Row],[Frequency]]="One-time",Operations18677277828792971021071121171241291341391441491541595297[[#This Row],[Cost]]/SUM($C$18,$C$19))))</f>
        <v>#N/A</v>
      </c>
      <c r="H44" s="46" t="e">
        <f>Operations18677277828792971021071121171241291341391441491541595297[[#This Row],[Monthly Cost Per Unit]]*12</f>
        <v>#N/A</v>
      </c>
    </row>
    <row r="45" spans="1:8" x14ac:dyDescent="0.25">
      <c r="A45" s="75"/>
      <c r="B45" s="76"/>
      <c r="C45" s="77"/>
      <c r="D45" s="78"/>
      <c r="E45" s="79"/>
      <c r="F45" s="79"/>
      <c r="G45" s="53" t="e" cm="1">
        <f t="array" ref="G45">_xlfn.IFS(Operations18677277828792971021071121171241291341391441491541595297[[#This Row],[Unit]]="Program-wide",((_xlfn.IFS(Operations18677277828792971021071121171241291341391441491541595297[[#This Row],[Frequency]]="Per Year",Operations18677277828792971021071121171241291341391441491541595297[[#This Row],[Cost]]/12,Operations18677277828792971021071121171241291341391441491541595297[[#This Row],[Frequency]]="Per month",Operations18677277828792971021071121171241291341391441491541595297[[#This Row],[Cost]],Operations18677277828792971021071121171241291341391441491541595297[[#This Row],[Frequency]]="Per day",Operations18677277828792971021071121171241291341391441491541595297[[#This Row],[Cost]]*30,Operations18677277828792971021071121171241291341391441491541595297[[#This Row],[Frequency]]="One-time",Operations18677277828792971021071121171241291341391441491541595297[[#This Row],[Cost]]/SUM($C$18,$C$19)))/$C$17),Operations18677277828792971021071121171241291341391441491541595297[[#This Row],[Unit]]="Per unit/space/household",(_xlfn.IFS(Operations18677277828792971021071121171241291341391441491541595297[[#This Row],[Frequency]]="Per Year",Operations18677277828792971021071121171241291341391441491541595297[[#This Row],[Cost]]/12,Operations18677277828792971021071121171241291341391441491541595297[[#This Row],[Frequency]]="Per month",Operations18677277828792971021071121171241291341391441491541595297[[#This Row],[Cost]],Operations18677277828792971021071121171241291341391441491541595297[[#This Row],[Frequency]]="Per day",Operations18677277828792971021071121171241291341391441491541595297[[#This Row],[Cost]]*30,Operations18677277828792971021071121171241291341391441491541595297[[#This Row],[Frequency]]="One-time",Operations18677277828792971021071121171241291341391441491541595297[[#This Row],[Cost]]/SUM($C$18,$C$19))))</f>
        <v>#N/A</v>
      </c>
      <c r="H45" s="46" t="e">
        <f>Operations18677277828792971021071121171241291341391441491541595297[[#This Row],[Monthly Cost Per Unit]]*12</f>
        <v>#N/A</v>
      </c>
    </row>
    <row r="46" spans="1:8" x14ac:dyDescent="0.25">
      <c r="A46" s="75"/>
      <c r="B46" s="76"/>
      <c r="C46" s="77"/>
      <c r="D46" s="78"/>
      <c r="E46" s="79"/>
      <c r="F46" s="79"/>
      <c r="G46" s="53" t="e" cm="1">
        <f t="array" ref="G46">_xlfn.IFS(Operations18677277828792971021071121171241291341391441491541595297[[#This Row],[Unit]]="Program-wide",((_xlfn.IFS(Operations18677277828792971021071121171241291341391441491541595297[[#This Row],[Frequency]]="Per Year",Operations18677277828792971021071121171241291341391441491541595297[[#This Row],[Cost]]/12,Operations18677277828792971021071121171241291341391441491541595297[[#This Row],[Frequency]]="Per month",Operations18677277828792971021071121171241291341391441491541595297[[#This Row],[Cost]],Operations18677277828792971021071121171241291341391441491541595297[[#This Row],[Frequency]]="Per day",Operations18677277828792971021071121171241291341391441491541595297[[#This Row],[Cost]]*30,Operations18677277828792971021071121171241291341391441491541595297[[#This Row],[Frequency]]="One-time",Operations18677277828792971021071121171241291341391441491541595297[[#This Row],[Cost]]/SUM($C$18,$C$19)))/$C$17),Operations18677277828792971021071121171241291341391441491541595297[[#This Row],[Unit]]="Per unit/space/household",(_xlfn.IFS(Operations18677277828792971021071121171241291341391441491541595297[[#This Row],[Frequency]]="Per Year",Operations18677277828792971021071121171241291341391441491541595297[[#This Row],[Cost]]/12,Operations18677277828792971021071121171241291341391441491541595297[[#This Row],[Frequency]]="Per month",Operations18677277828792971021071121171241291341391441491541595297[[#This Row],[Cost]],Operations18677277828792971021071121171241291341391441491541595297[[#This Row],[Frequency]]="Per day",Operations18677277828792971021071121171241291341391441491541595297[[#This Row],[Cost]]*30,Operations18677277828792971021071121171241291341391441491541595297[[#This Row],[Frequency]]="One-time",Operations18677277828792971021071121171241291341391441491541595297[[#This Row],[Cost]]/SUM($C$18,$C$19))))</f>
        <v>#N/A</v>
      </c>
      <c r="H46" s="46" t="e">
        <f>Operations18677277828792971021071121171241291341391441491541595297[[#This Row],[Monthly Cost Per Unit]]*12</f>
        <v>#N/A</v>
      </c>
    </row>
    <row r="47" spans="1:8" x14ac:dyDescent="0.25">
      <c r="A47" s="75"/>
      <c r="B47" s="76"/>
      <c r="C47" s="77"/>
      <c r="D47" s="78"/>
      <c r="E47" s="79"/>
      <c r="F47" s="79"/>
      <c r="G47" s="53" t="e" cm="1">
        <f t="array" ref="G47">_xlfn.IFS(Operations18677277828792971021071121171241291341391441491541595297[[#This Row],[Unit]]="Program-wide",((_xlfn.IFS(Operations18677277828792971021071121171241291341391441491541595297[[#This Row],[Frequency]]="Per Year",Operations18677277828792971021071121171241291341391441491541595297[[#This Row],[Cost]]/12,Operations18677277828792971021071121171241291341391441491541595297[[#This Row],[Frequency]]="Per month",Operations18677277828792971021071121171241291341391441491541595297[[#This Row],[Cost]],Operations18677277828792971021071121171241291341391441491541595297[[#This Row],[Frequency]]="Per day",Operations18677277828792971021071121171241291341391441491541595297[[#This Row],[Cost]]*30,Operations18677277828792971021071121171241291341391441491541595297[[#This Row],[Frequency]]="One-time",Operations18677277828792971021071121171241291341391441491541595297[[#This Row],[Cost]]/SUM($C$18,$C$19)))/$C$17),Operations18677277828792971021071121171241291341391441491541595297[[#This Row],[Unit]]="Per unit/space/household",(_xlfn.IFS(Operations18677277828792971021071121171241291341391441491541595297[[#This Row],[Frequency]]="Per Year",Operations18677277828792971021071121171241291341391441491541595297[[#This Row],[Cost]]/12,Operations18677277828792971021071121171241291341391441491541595297[[#This Row],[Frequency]]="Per month",Operations18677277828792971021071121171241291341391441491541595297[[#This Row],[Cost]],Operations18677277828792971021071121171241291341391441491541595297[[#This Row],[Frequency]]="Per day",Operations18677277828792971021071121171241291341391441491541595297[[#This Row],[Cost]]*30,Operations18677277828792971021071121171241291341391441491541595297[[#This Row],[Frequency]]="One-time",Operations18677277828792971021071121171241291341391441491541595297[[#This Row],[Cost]]/SUM($C$18,$C$19))))</f>
        <v>#N/A</v>
      </c>
      <c r="H47" s="46" t="e">
        <f>Operations18677277828792971021071121171241291341391441491541595297[[#This Row],[Monthly Cost Per Unit]]*12</f>
        <v>#N/A</v>
      </c>
    </row>
    <row r="48" spans="1:8" x14ac:dyDescent="0.25">
      <c r="A48" s="75"/>
      <c r="B48" s="76"/>
      <c r="C48" s="77"/>
      <c r="D48" s="78"/>
      <c r="E48" s="79"/>
      <c r="F48" s="79"/>
      <c r="G48" s="53" t="e" cm="1">
        <f t="array" ref="G48">_xlfn.IFS(Operations18677277828792971021071121171241291341391441491541595297[[#This Row],[Unit]]="Program-wide",((_xlfn.IFS(Operations18677277828792971021071121171241291341391441491541595297[[#This Row],[Frequency]]="Per Year",Operations18677277828792971021071121171241291341391441491541595297[[#This Row],[Cost]]/12,Operations18677277828792971021071121171241291341391441491541595297[[#This Row],[Frequency]]="Per month",Operations18677277828792971021071121171241291341391441491541595297[[#This Row],[Cost]],Operations18677277828792971021071121171241291341391441491541595297[[#This Row],[Frequency]]="Per day",Operations18677277828792971021071121171241291341391441491541595297[[#This Row],[Cost]]*30,Operations18677277828792971021071121171241291341391441491541595297[[#This Row],[Frequency]]="One-time",Operations18677277828792971021071121171241291341391441491541595297[[#This Row],[Cost]]/SUM($C$18,$C$19)))/$C$17),Operations18677277828792971021071121171241291341391441491541595297[[#This Row],[Unit]]="Per unit/space/household",(_xlfn.IFS(Operations18677277828792971021071121171241291341391441491541595297[[#This Row],[Frequency]]="Per Year",Operations18677277828792971021071121171241291341391441491541595297[[#This Row],[Cost]]/12,Operations18677277828792971021071121171241291341391441491541595297[[#This Row],[Frequency]]="Per month",Operations18677277828792971021071121171241291341391441491541595297[[#This Row],[Cost]],Operations18677277828792971021071121171241291341391441491541595297[[#This Row],[Frequency]]="Per day",Operations18677277828792971021071121171241291341391441491541595297[[#This Row],[Cost]]*30,Operations18677277828792971021071121171241291341391441491541595297[[#This Row],[Frequency]]="One-time",Operations18677277828792971021071121171241291341391441491541595297[[#This Row],[Cost]]/SUM($C$18,$C$19))))</f>
        <v>#N/A</v>
      </c>
      <c r="H48" s="46" t="e">
        <f>Operations18677277828792971021071121171241291341391441491541595297[[#This Row],[Monthly Cost Per Unit]]*12</f>
        <v>#N/A</v>
      </c>
    </row>
    <row r="49" spans="1:9" x14ac:dyDescent="0.25">
      <c r="A49" s="75"/>
      <c r="B49" s="76"/>
      <c r="C49" s="77"/>
      <c r="D49" s="78"/>
      <c r="E49" s="79"/>
      <c r="F49" s="79"/>
      <c r="G49" s="53" t="e" cm="1">
        <f t="array" ref="G49">_xlfn.IFS(Operations18677277828792971021071121171241291341391441491541595297[[#This Row],[Unit]]="Program-wide",((_xlfn.IFS(Operations18677277828792971021071121171241291341391441491541595297[[#This Row],[Frequency]]="Per Year",Operations18677277828792971021071121171241291341391441491541595297[[#This Row],[Cost]]/12,Operations18677277828792971021071121171241291341391441491541595297[[#This Row],[Frequency]]="Per month",Operations18677277828792971021071121171241291341391441491541595297[[#This Row],[Cost]],Operations18677277828792971021071121171241291341391441491541595297[[#This Row],[Frequency]]="Per day",Operations18677277828792971021071121171241291341391441491541595297[[#This Row],[Cost]]*30,Operations18677277828792971021071121171241291341391441491541595297[[#This Row],[Frequency]]="One-time",Operations18677277828792971021071121171241291341391441491541595297[[#This Row],[Cost]]/SUM($C$18,$C$19)))/$C$17),Operations18677277828792971021071121171241291341391441491541595297[[#This Row],[Unit]]="Per unit/space/household",(_xlfn.IFS(Operations18677277828792971021071121171241291341391441491541595297[[#This Row],[Frequency]]="Per Year",Operations18677277828792971021071121171241291341391441491541595297[[#This Row],[Cost]]/12,Operations18677277828792971021071121171241291341391441491541595297[[#This Row],[Frequency]]="Per month",Operations18677277828792971021071121171241291341391441491541595297[[#This Row],[Cost]],Operations18677277828792971021071121171241291341391441491541595297[[#This Row],[Frequency]]="Per day",Operations18677277828792971021071121171241291341391441491541595297[[#This Row],[Cost]]*30,Operations18677277828792971021071121171241291341391441491541595297[[#This Row],[Frequency]]="One-time",Operations18677277828792971021071121171241291341391441491541595297[[#This Row],[Cost]]/SUM($C$18,$C$19))))</f>
        <v>#N/A</v>
      </c>
      <c r="H49" s="46" t="e">
        <f>Operations18677277828792971021071121171241291341391441491541595297[[#This Row],[Monthly Cost Per Unit]]*12</f>
        <v>#N/A</v>
      </c>
    </row>
    <row r="50" spans="1:9" x14ac:dyDescent="0.25">
      <c r="A50" s="75"/>
      <c r="B50" s="76"/>
      <c r="C50" s="77"/>
      <c r="D50" s="78"/>
      <c r="E50" s="79"/>
      <c r="F50" s="79"/>
      <c r="G50" s="53" t="e" cm="1">
        <f t="array" ref="G50">_xlfn.IFS(Operations18677277828792971021071121171241291341391441491541595297[[#This Row],[Unit]]="Program-wide",((_xlfn.IFS(Operations18677277828792971021071121171241291341391441491541595297[[#This Row],[Frequency]]="Per Year",Operations18677277828792971021071121171241291341391441491541595297[[#This Row],[Cost]]/12,Operations18677277828792971021071121171241291341391441491541595297[[#This Row],[Frequency]]="Per month",Operations18677277828792971021071121171241291341391441491541595297[[#This Row],[Cost]],Operations18677277828792971021071121171241291341391441491541595297[[#This Row],[Frequency]]="Per day",Operations18677277828792971021071121171241291341391441491541595297[[#This Row],[Cost]]*30,Operations18677277828792971021071121171241291341391441491541595297[[#This Row],[Frequency]]="One-time",Operations18677277828792971021071121171241291341391441491541595297[[#This Row],[Cost]]/SUM($C$18,$C$19)))/$C$17),Operations18677277828792971021071121171241291341391441491541595297[[#This Row],[Unit]]="Per unit/space/household",(_xlfn.IFS(Operations18677277828792971021071121171241291341391441491541595297[[#This Row],[Frequency]]="Per Year",Operations18677277828792971021071121171241291341391441491541595297[[#This Row],[Cost]]/12,Operations18677277828792971021071121171241291341391441491541595297[[#This Row],[Frequency]]="Per month",Operations18677277828792971021071121171241291341391441491541595297[[#This Row],[Cost]],Operations18677277828792971021071121171241291341391441491541595297[[#This Row],[Frequency]]="Per day",Operations18677277828792971021071121171241291341391441491541595297[[#This Row],[Cost]]*30,Operations18677277828792971021071121171241291341391441491541595297[[#This Row],[Frequency]]="One-time",Operations18677277828792971021071121171241291341391441491541595297[[#This Row],[Cost]]/SUM($C$18,$C$19))))</f>
        <v>#N/A</v>
      </c>
      <c r="H50" s="46" t="e">
        <f>Operations18677277828792971021071121171241291341391441491541595297[[#This Row],[Monthly Cost Per Unit]]*12</f>
        <v>#N/A</v>
      </c>
    </row>
    <row r="51" spans="1:9" x14ac:dyDescent="0.25">
      <c r="A51" s="75"/>
      <c r="B51" s="76"/>
      <c r="C51" s="77"/>
      <c r="D51" s="78"/>
      <c r="E51" s="79"/>
      <c r="F51" s="79"/>
      <c r="G51" s="53" t="e" cm="1">
        <f t="array" ref="G51">_xlfn.IFS(Operations18677277828792971021071121171241291341391441491541595297[[#This Row],[Unit]]="Program-wide",((_xlfn.IFS(Operations18677277828792971021071121171241291341391441491541595297[[#This Row],[Frequency]]="Per Year",Operations18677277828792971021071121171241291341391441491541595297[[#This Row],[Cost]]/12,Operations18677277828792971021071121171241291341391441491541595297[[#This Row],[Frequency]]="Per month",Operations18677277828792971021071121171241291341391441491541595297[[#This Row],[Cost]],Operations18677277828792971021071121171241291341391441491541595297[[#This Row],[Frequency]]="Per day",Operations18677277828792971021071121171241291341391441491541595297[[#This Row],[Cost]]*30,Operations18677277828792971021071121171241291341391441491541595297[[#This Row],[Frequency]]="One-time",Operations18677277828792971021071121171241291341391441491541595297[[#This Row],[Cost]]/SUM($C$18,$C$19)))/$C$17),Operations18677277828792971021071121171241291341391441491541595297[[#This Row],[Unit]]="Per unit/space/household",(_xlfn.IFS(Operations18677277828792971021071121171241291341391441491541595297[[#This Row],[Frequency]]="Per Year",Operations18677277828792971021071121171241291341391441491541595297[[#This Row],[Cost]]/12,Operations18677277828792971021071121171241291341391441491541595297[[#This Row],[Frequency]]="Per month",Operations18677277828792971021071121171241291341391441491541595297[[#This Row],[Cost]],Operations18677277828792971021071121171241291341391441491541595297[[#This Row],[Frequency]]="Per day",Operations18677277828792971021071121171241291341391441491541595297[[#This Row],[Cost]]*30,Operations18677277828792971021071121171241291341391441491541595297[[#This Row],[Frequency]]="One-time",Operations18677277828792971021071121171241291341391441491541595297[[#This Row],[Cost]]/SUM($C$18,$C$19))))</f>
        <v>#N/A</v>
      </c>
      <c r="H51" s="46" t="e">
        <f>Operations18677277828792971021071121171241291341391441491541595297[[#This Row],[Monthly Cost Per Unit]]*12</f>
        <v>#N/A</v>
      </c>
    </row>
    <row r="52" spans="1:9" x14ac:dyDescent="0.25">
      <c r="A52" s="75"/>
      <c r="B52" s="76"/>
      <c r="C52" s="77"/>
      <c r="D52" s="78"/>
      <c r="E52" s="79"/>
      <c r="F52" s="79"/>
      <c r="G52" s="55" t="e" cm="1">
        <f t="array" ref="G52">_xlfn.IFS(Operations18677277828792971021071121171241291341391441491541595297[[#This Row],[Unit]]="Program-wide",((_xlfn.IFS(Operations18677277828792971021071121171241291341391441491541595297[[#This Row],[Frequency]]="Per Year",Operations18677277828792971021071121171241291341391441491541595297[[#This Row],[Cost]]/12,Operations18677277828792971021071121171241291341391441491541595297[[#This Row],[Frequency]]="Per month",Operations18677277828792971021071121171241291341391441491541595297[[#This Row],[Cost]],Operations18677277828792971021071121171241291341391441491541595297[[#This Row],[Frequency]]="Per day",Operations18677277828792971021071121171241291341391441491541595297[[#This Row],[Cost]]*30,Operations18677277828792971021071121171241291341391441491541595297[[#This Row],[Frequency]]="One-time",Operations18677277828792971021071121171241291341391441491541595297[[#This Row],[Cost]]/SUM($C$18,$C$19)))/$C$17),Operations18677277828792971021071121171241291341391441491541595297[[#This Row],[Unit]]="Per unit/space/household",(_xlfn.IFS(Operations18677277828792971021071121171241291341391441491541595297[[#This Row],[Frequency]]="Per Year",Operations18677277828792971021071121171241291341391441491541595297[[#This Row],[Cost]]/12,Operations18677277828792971021071121171241291341391441491541595297[[#This Row],[Frequency]]="Per month",Operations18677277828792971021071121171241291341391441491541595297[[#This Row],[Cost]],Operations18677277828792971021071121171241291341391441491541595297[[#This Row],[Frequency]]="Per day",Operations18677277828792971021071121171241291341391441491541595297[[#This Row],[Cost]]*30,Operations18677277828792971021071121171241291341391441491541595297[[#This Row],[Frequency]]="One-time",Operations18677277828792971021071121171241291341391441491541595297[[#This Row],[Cost]]/SUM($C$18,$C$19))))</f>
        <v>#N/A</v>
      </c>
      <c r="H52" s="46" t="e">
        <f>Operations18677277828792971021071121171241291341391441491541595297[[#This Row],[Monthly Cost Per Unit]]*12</f>
        <v>#N/A</v>
      </c>
    </row>
    <row r="53" spans="1:9" x14ac:dyDescent="0.25">
      <c r="A53" s="107" t="s">
        <v>20</v>
      </c>
      <c r="B53" s="107"/>
      <c r="C53" s="108" t="s">
        <v>68</v>
      </c>
      <c r="D53" s="109"/>
      <c r="E53" s="108"/>
      <c r="F53" s="108"/>
      <c r="G53" s="118"/>
      <c r="H53" s="111">
        <f>(SUMIF(Operations18677277828792971021071121171241291341391441491541595297[Duration],"While homeless only",Operations18677277828792971021071121171241291341391441491541595297[Monthly Cost Per Unit]))*12</f>
        <v>0</v>
      </c>
    </row>
    <row r="54" spans="1:9" x14ac:dyDescent="0.25">
      <c r="A54" s="112"/>
      <c r="B54" s="112"/>
      <c r="C54" s="108" t="s">
        <v>63</v>
      </c>
      <c r="D54" s="109"/>
      <c r="E54" s="108"/>
      <c r="F54" s="108"/>
      <c r="G54" s="111"/>
      <c r="H54" s="111">
        <f>(SUMIF(Operations18677277828792971021071121171241291341391441491541595297[Duration],"While housed only",Operations18677277828792971021071121171241291341391441491541595297[Monthly Cost Per Unit]))*12</f>
        <v>0</v>
      </c>
    </row>
    <row r="55" spans="1:9" x14ac:dyDescent="0.25">
      <c r="A55" s="112"/>
      <c r="B55" s="112"/>
      <c r="C55" s="108" t="s">
        <v>58</v>
      </c>
      <c r="D55" s="109"/>
      <c r="E55" s="108"/>
      <c r="F55" s="108"/>
      <c r="G55" s="111"/>
      <c r="H55" s="111">
        <f>(SUMIF(Operations18677277828792971021071121171241291341391441491541595297[Duration],"Homeless &amp; housed",Operations18677277828792971021071121171241291341391441491541595297[Monthly Cost Per Unit]))*12</f>
        <v>0</v>
      </c>
    </row>
    <row r="56" spans="1:9" ht="15.75" thickBot="1" x14ac:dyDescent="0.3">
      <c r="A56" s="113"/>
      <c r="B56" s="113"/>
      <c r="C56" s="114" t="s">
        <v>207</v>
      </c>
      <c r="D56" s="115"/>
      <c r="E56" s="114"/>
      <c r="F56" s="114"/>
      <c r="G56" s="117"/>
      <c r="H56" s="117">
        <f>(SUMIF(Operations18677277828792971021071121171241291341391441491541595297[Duration],"N/A",Operations18677277828792971021071121171241291341391441491541595297[Monthly Cost Per Unit]))*12</f>
        <v>0</v>
      </c>
    </row>
    <row r="57" spans="1:9" ht="16.5" thickTop="1" thickBot="1" x14ac:dyDescent="0.3">
      <c r="A57" s="113"/>
      <c r="B57" s="113"/>
      <c r="C57" s="114" t="s">
        <v>42</v>
      </c>
      <c r="D57" s="115"/>
      <c r="E57" s="114"/>
      <c r="F57" s="114"/>
      <c r="G57" s="117"/>
      <c r="H57" s="117">
        <f>SUM(H53:H56)</f>
        <v>0</v>
      </c>
    </row>
    <row r="58" spans="1:9" ht="15.75" thickTop="1" x14ac:dyDescent="0.25">
      <c r="A58" s="134"/>
      <c r="B58" s="134"/>
      <c r="C58" s="135"/>
      <c r="D58" s="136"/>
      <c r="E58" s="137"/>
      <c r="F58" s="137"/>
      <c r="G58" s="138"/>
    </row>
    <row r="59" spans="1:9" x14ac:dyDescent="0.25">
      <c r="A59" s="274" t="s">
        <v>69</v>
      </c>
      <c r="B59" s="274"/>
      <c r="C59" s="274"/>
      <c r="D59" s="274"/>
      <c r="E59" s="274"/>
      <c r="F59" s="274"/>
      <c r="G59" s="274"/>
      <c r="H59" s="274"/>
      <c r="I59" s="129"/>
    </row>
    <row r="60" spans="1:9" ht="27.95" customHeight="1" outlineLevel="1" x14ac:dyDescent="0.25">
      <c r="A60" s="281" t="s">
        <v>108</v>
      </c>
      <c r="B60" s="281"/>
      <c r="C60" s="281"/>
      <c r="D60" s="281"/>
      <c r="E60" s="281"/>
      <c r="F60" s="281"/>
      <c r="G60" s="281"/>
      <c r="H60" s="281"/>
      <c r="I60" s="129"/>
    </row>
    <row r="61" spans="1:9" ht="18" customHeight="1" outlineLevel="1" x14ac:dyDescent="0.25">
      <c r="A61" s="279" t="s">
        <v>70</v>
      </c>
      <c r="B61" s="279"/>
      <c r="C61" s="279"/>
      <c r="D61" s="279"/>
      <c r="E61" s="279"/>
      <c r="F61" s="279"/>
      <c r="G61" s="92"/>
      <c r="H61" s="10"/>
      <c r="I61" s="129"/>
    </row>
    <row r="62" spans="1:9" ht="45" customHeight="1" outlineLevel="1" x14ac:dyDescent="0.25">
      <c r="A62" s="278" t="s">
        <v>118</v>
      </c>
      <c r="B62" s="278"/>
      <c r="C62" s="278"/>
      <c r="D62" s="278"/>
      <c r="E62" s="278"/>
      <c r="F62" s="278"/>
      <c r="G62" s="92"/>
      <c r="H62" s="10"/>
      <c r="I62" s="129"/>
    </row>
    <row r="63" spans="1:9" ht="60.75" thickBot="1" x14ac:dyDescent="0.3">
      <c r="A63" s="128"/>
      <c r="B63" t="s">
        <v>71</v>
      </c>
      <c r="C63" s="11" t="s">
        <v>72</v>
      </c>
      <c r="D63" s="11" t="s">
        <v>73</v>
      </c>
      <c r="E63" s="11" t="s">
        <v>74</v>
      </c>
      <c r="F63" s="31" t="s">
        <v>75</v>
      </c>
      <c r="G63" s="10"/>
    </row>
    <row r="64" spans="1:9" ht="16.5" thickTop="1" thickBot="1" x14ac:dyDescent="0.3">
      <c r="A64" s="139" t="s">
        <v>76</v>
      </c>
      <c r="B64" s="90">
        <v>0</v>
      </c>
      <c r="C64" s="91">
        <v>0</v>
      </c>
      <c r="D64" s="91">
        <v>0</v>
      </c>
      <c r="E64" s="91">
        <v>0</v>
      </c>
      <c r="F64" s="140">
        <f>SUM(D64:E64)</f>
        <v>0</v>
      </c>
      <c r="G64" s="10"/>
    </row>
    <row r="65" spans="1:9" s="3" customFormat="1" ht="16.5" thickTop="1" thickBot="1" x14ac:dyDescent="0.3">
      <c r="A65" s="139" t="s">
        <v>77</v>
      </c>
      <c r="B65" s="90">
        <v>0</v>
      </c>
      <c r="C65" s="91">
        <v>0</v>
      </c>
      <c r="D65" s="91">
        <v>0</v>
      </c>
      <c r="E65" s="91">
        <v>0</v>
      </c>
      <c r="F65" s="140">
        <f t="shared" ref="F65:F71" si="0">SUM(D65:E65)</f>
        <v>0</v>
      </c>
      <c r="G65" s="10"/>
    </row>
    <row r="66" spans="1:9" ht="16.5" thickTop="1" thickBot="1" x14ac:dyDescent="0.3">
      <c r="A66" s="139" t="s">
        <v>78</v>
      </c>
      <c r="B66" s="90">
        <v>0</v>
      </c>
      <c r="C66" s="91">
        <v>0</v>
      </c>
      <c r="D66" s="91">
        <v>0</v>
      </c>
      <c r="E66" s="91">
        <v>0</v>
      </c>
      <c r="F66" s="140">
        <f t="shared" si="0"/>
        <v>0</v>
      </c>
      <c r="G66" s="10"/>
    </row>
    <row r="67" spans="1:9" ht="16.5" thickTop="1" thickBot="1" x14ac:dyDescent="0.3">
      <c r="A67" s="139" t="s">
        <v>79</v>
      </c>
      <c r="B67" s="90">
        <v>0</v>
      </c>
      <c r="C67" s="91">
        <v>0</v>
      </c>
      <c r="D67" s="91">
        <v>0</v>
      </c>
      <c r="E67" s="91">
        <v>0</v>
      </c>
      <c r="F67" s="140">
        <f t="shared" si="0"/>
        <v>0</v>
      </c>
      <c r="G67" s="10"/>
    </row>
    <row r="68" spans="1:9" ht="16.5" thickTop="1" thickBot="1" x14ac:dyDescent="0.3">
      <c r="A68" s="139" t="s">
        <v>80</v>
      </c>
      <c r="B68" s="90">
        <v>0</v>
      </c>
      <c r="C68" s="91">
        <v>0</v>
      </c>
      <c r="D68" s="91">
        <v>0</v>
      </c>
      <c r="E68" s="91">
        <v>0</v>
      </c>
      <c r="F68" s="140">
        <f t="shared" si="0"/>
        <v>0</v>
      </c>
      <c r="G68" s="10"/>
    </row>
    <row r="69" spans="1:9" ht="16.5" thickTop="1" thickBot="1" x14ac:dyDescent="0.3">
      <c r="A69" s="139" t="s">
        <v>81</v>
      </c>
      <c r="B69" s="90">
        <v>0</v>
      </c>
      <c r="C69" s="91">
        <v>0</v>
      </c>
      <c r="D69" s="91">
        <v>0</v>
      </c>
      <c r="E69" s="91">
        <v>0</v>
      </c>
      <c r="F69" s="140">
        <f t="shared" si="0"/>
        <v>0</v>
      </c>
      <c r="G69" s="10"/>
    </row>
    <row r="70" spans="1:9" ht="16.5" thickTop="1" thickBot="1" x14ac:dyDescent="0.3">
      <c r="A70" s="139" t="s">
        <v>82</v>
      </c>
      <c r="B70" s="90">
        <v>0</v>
      </c>
      <c r="C70" s="91">
        <v>0</v>
      </c>
      <c r="D70" s="91">
        <v>0</v>
      </c>
      <c r="E70" s="91">
        <v>0</v>
      </c>
      <c r="F70" s="140">
        <f t="shared" si="0"/>
        <v>0</v>
      </c>
      <c r="G70" s="10"/>
    </row>
    <row r="71" spans="1:9" ht="16.5" thickTop="1" thickBot="1" x14ac:dyDescent="0.3">
      <c r="A71" s="139" t="s">
        <v>83</v>
      </c>
      <c r="B71" s="90">
        <v>0</v>
      </c>
      <c r="C71" s="91">
        <v>0</v>
      </c>
      <c r="D71" s="91">
        <v>0</v>
      </c>
      <c r="E71" s="91">
        <v>0</v>
      </c>
      <c r="F71" s="140">
        <f t="shared" si="0"/>
        <v>0</v>
      </c>
      <c r="G71" s="10"/>
    </row>
    <row r="72" spans="1:9" ht="15.75" thickTop="1" x14ac:dyDescent="0.25">
      <c r="A72" s="141" t="s">
        <v>21</v>
      </c>
      <c r="C72" s="142" t="e">
        <f>SUM((C64*B64),(C65*B65),(C66*B66),(C67*B67),(C68*B68),(C69*B69),(C70*B70),(C71*B71))/(SUM(B64:B71))</f>
        <v>#DIV/0!</v>
      </c>
      <c r="D72" s="142" t="e">
        <f>SUM((D64*B64),(D65*B65),(D66*B66),(D67*B67),(D68*B68),(D69*B69),(D70*B70),(D71*B71))/(SUM(B64:B71))</f>
        <v>#DIV/0!</v>
      </c>
      <c r="E72" s="142" t="e">
        <f>SUM((E64*B64),(E65*B65),(E66*B66),(E67*B67),(E68*B68),(E69*B69),(E70*B70),(E71*B71))/(SUM(B64:B71))</f>
        <v>#DIV/0!</v>
      </c>
      <c r="F72" s="143" t="e">
        <f>SUM((F64*B64),(F65*B65),(F66*B66),(F67*B67),(F68*B68),(F69*B69),(F70*B70),(F71*B71))/(SUM(B64:B71))</f>
        <v>#DIV/0!</v>
      </c>
      <c r="G72" s="10"/>
    </row>
    <row r="73" spans="1:9" x14ac:dyDescent="0.25">
      <c r="A73" s="144"/>
      <c r="B73" s="145"/>
      <c r="C73" s="145"/>
      <c r="E73" s="10"/>
      <c r="F73" s="10"/>
      <c r="G73" s="129"/>
    </row>
    <row r="74" spans="1:9" x14ac:dyDescent="0.25">
      <c r="A74" s="279" t="s">
        <v>84</v>
      </c>
      <c r="B74" s="279"/>
      <c r="C74" s="279"/>
      <c r="D74" s="279"/>
      <c r="E74" s="279"/>
      <c r="F74" s="279"/>
      <c r="G74" s="279"/>
      <c r="H74" s="279"/>
    </row>
    <row r="75" spans="1:9" s="1" customFormat="1" ht="50.25" customHeight="1" outlineLevel="1" x14ac:dyDescent="0.25">
      <c r="A75" s="278" t="s">
        <v>119</v>
      </c>
      <c r="B75" s="278"/>
      <c r="C75" s="278"/>
      <c r="D75" s="278"/>
      <c r="E75" s="278"/>
      <c r="F75" s="278"/>
      <c r="G75" s="278"/>
      <c r="H75" s="278"/>
      <c r="I75"/>
    </row>
    <row r="76" spans="1:9" s="3" customFormat="1" ht="28.35" customHeight="1" x14ac:dyDescent="0.25">
      <c r="A76" s="131" t="s">
        <v>51</v>
      </c>
      <c r="B76" s="131" t="s">
        <v>52</v>
      </c>
      <c r="C76" s="131" t="s">
        <v>53</v>
      </c>
      <c r="D76" s="131" t="s">
        <v>54</v>
      </c>
      <c r="E76" s="131" t="s">
        <v>55</v>
      </c>
      <c r="F76" s="131" t="s">
        <v>56</v>
      </c>
      <c r="G76" s="131" t="s">
        <v>57</v>
      </c>
      <c r="H76" s="132" t="s">
        <v>20</v>
      </c>
    </row>
    <row r="77" spans="1:9" x14ac:dyDescent="0.25">
      <c r="A77" s="75"/>
      <c r="B77" s="75"/>
      <c r="C77" s="77"/>
      <c r="D77" s="78"/>
      <c r="E77" s="79"/>
      <c r="F77" s="79"/>
      <c r="G77" s="53" t="e" cm="1">
        <f t="array" ref="G77">_xlfn.IFS(RentalAssistance19687378838893981031081131181251301351401451501551605398[[#This Row],[Unit]]="Program-wide",((_xlfn.IFS(RentalAssistance19687378838893981031081131181251301351401451501551605398[[#This Row],[Frequency]]="Per Year",RentalAssistance19687378838893981031081131181251301351401451501551605398[[#This Row],[Cost]]/12,RentalAssistance19687378838893981031081131181251301351401451501551605398[[#This Row],[Frequency]]="Per month",RentalAssistance19687378838893981031081131181251301351401451501551605398[[#This Row],[Cost]],RentalAssistance19687378838893981031081131181251301351401451501551605398[[#This Row],[Frequency]]="Per day",RentalAssistance19687378838893981031081131181251301351401451501551605398[[#This Row],[Cost]]*30,RentalAssistance19687378838893981031081131181251301351401451501551605398[[#This Row],[Frequency]]="One-time",RentalAssistance19687378838893981031081131181251301351401451501551605398[[#This Row],[Cost]]/SUM($C$18,$C$19)))/$C$17),RentalAssistance19687378838893981031081131181251301351401451501551605398[[#This Row],[Unit]]="Per unit/space/household",(_xlfn.IFS(RentalAssistance19687378838893981031081131181251301351401451501551605398[[#This Row],[Frequency]]="Per Year",RentalAssistance19687378838893981031081131181251301351401451501551605398[[#This Row],[Cost]]/12,RentalAssistance19687378838893981031081131181251301351401451501551605398[[#This Row],[Frequency]]="Per month",RentalAssistance19687378838893981031081131181251301351401451501551605398[[#This Row],[Cost]],RentalAssistance19687378838893981031081131181251301351401451501551605398[[#This Row],[Frequency]]="Per day",RentalAssistance19687378838893981031081131181251301351401451501551605398[[#This Row],[Cost]]*30,RentalAssistance19687378838893981031081131181251301351401451501551605398[[#This Row],[Frequency]]="One-time",RentalAssistance19687378838893981031081131181251301351401451501551605398[[#This Row],[Cost]]/SUM($C$18,$C$19))))</f>
        <v>#N/A</v>
      </c>
      <c r="H77" s="46" t="e">
        <f>RentalAssistance19687378838893981031081131181251301351401451501551605398[[#This Row],[Monthly Cost Per Unit]]*12</f>
        <v>#N/A</v>
      </c>
    </row>
    <row r="78" spans="1:9" x14ac:dyDescent="0.25">
      <c r="A78" s="75"/>
      <c r="B78" s="75"/>
      <c r="C78" s="77"/>
      <c r="D78" s="78"/>
      <c r="E78" s="79"/>
      <c r="F78" s="79"/>
      <c r="G78" s="53" t="e" cm="1">
        <f t="array" ref="G78">_xlfn.IFS(RentalAssistance19687378838893981031081131181251301351401451501551605398[[#This Row],[Unit]]="Program-wide",((_xlfn.IFS(RentalAssistance19687378838893981031081131181251301351401451501551605398[[#This Row],[Frequency]]="Per Year",RentalAssistance19687378838893981031081131181251301351401451501551605398[[#This Row],[Cost]]/12,RentalAssistance19687378838893981031081131181251301351401451501551605398[[#This Row],[Frequency]]="Per month",RentalAssistance19687378838893981031081131181251301351401451501551605398[[#This Row],[Cost]],RentalAssistance19687378838893981031081131181251301351401451501551605398[[#This Row],[Frequency]]="Per day",RentalAssistance19687378838893981031081131181251301351401451501551605398[[#This Row],[Cost]]*30,RentalAssistance19687378838893981031081131181251301351401451501551605398[[#This Row],[Frequency]]="One-time",RentalAssistance19687378838893981031081131181251301351401451501551605398[[#This Row],[Cost]]/SUM($C$18,$C$19)))/$C$17),RentalAssistance19687378838893981031081131181251301351401451501551605398[[#This Row],[Unit]]="Per unit/space/household",(_xlfn.IFS(RentalAssistance19687378838893981031081131181251301351401451501551605398[[#This Row],[Frequency]]="Per Year",RentalAssistance19687378838893981031081131181251301351401451501551605398[[#This Row],[Cost]]/12,RentalAssistance19687378838893981031081131181251301351401451501551605398[[#This Row],[Frequency]]="Per month",RentalAssistance19687378838893981031081131181251301351401451501551605398[[#This Row],[Cost]],RentalAssistance19687378838893981031081131181251301351401451501551605398[[#This Row],[Frequency]]="Per day",RentalAssistance19687378838893981031081131181251301351401451501551605398[[#This Row],[Cost]]*30,RentalAssistance19687378838893981031081131181251301351401451501551605398[[#This Row],[Frequency]]="One-time",RentalAssistance19687378838893981031081131181251301351401451501551605398[[#This Row],[Cost]]/SUM($C$18,$C$19))))</f>
        <v>#N/A</v>
      </c>
      <c r="H78" s="46" t="e">
        <f>RentalAssistance19687378838893981031081131181251301351401451501551605398[[#This Row],[Monthly Cost Per Unit]]*12</f>
        <v>#N/A</v>
      </c>
    </row>
    <row r="79" spans="1:9" x14ac:dyDescent="0.25">
      <c r="A79" s="75"/>
      <c r="B79" s="75"/>
      <c r="C79" s="77"/>
      <c r="D79" s="78"/>
      <c r="E79" s="79"/>
      <c r="F79" s="79"/>
      <c r="G79" s="53" t="e" cm="1">
        <f t="array" ref="G79">_xlfn.IFS(RentalAssistance19687378838893981031081131181251301351401451501551605398[[#This Row],[Unit]]="Program-wide",((_xlfn.IFS(RentalAssistance19687378838893981031081131181251301351401451501551605398[[#This Row],[Frequency]]="Per Year",RentalAssistance19687378838893981031081131181251301351401451501551605398[[#This Row],[Cost]]/12,RentalAssistance19687378838893981031081131181251301351401451501551605398[[#This Row],[Frequency]]="Per month",RentalAssistance19687378838893981031081131181251301351401451501551605398[[#This Row],[Cost]],RentalAssistance19687378838893981031081131181251301351401451501551605398[[#This Row],[Frequency]]="Per day",RentalAssistance19687378838893981031081131181251301351401451501551605398[[#This Row],[Cost]]*30,RentalAssistance19687378838893981031081131181251301351401451501551605398[[#This Row],[Frequency]]="One-time",RentalAssistance19687378838893981031081131181251301351401451501551605398[[#This Row],[Cost]]/SUM($C$18,$C$19)))/$C$17),RentalAssistance19687378838893981031081131181251301351401451501551605398[[#This Row],[Unit]]="Per unit/space/household",(_xlfn.IFS(RentalAssistance19687378838893981031081131181251301351401451501551605398[[#This Row],[Frequency]]="Per Year",RentalAssistance19687378838893981031081131181251301351401451501551605398[[#This Row],[Cost]]/12,RentalAssistance19687378838893981031081131181251301351401451501551605398[[#This Row],[Frequency]]="Per month",RentalAssistance19687378838893981031081131181251301351401451501551605398[[#This Row],[Cost]],RentalAssistance19687378838893981031081131181251301351401451501551605398[[#This Row],[Frequency]]="Per day",RentalAssistance19687378838893981031081131181251301351401451501551605398[[#This Row],[Cost]]*30,RentalAssistance19687378838893981031081131181251301351401451501551605398[[#This Row],[Frequency]]="One-time",RentalAssistance19687378838893981031081131181251301351401451501551605398[[#This Row],[Cost]]/SUM($C$18,$C$19))))</f>
        <v>#N/A</v>
      </c>
      <c r="H79" s="46" t="e">
        <f>RentalAssistance19687378838893981031081131181251301351401451501551605398[[#This Row],[Monthly Cost Per Unit]]*12</f>
        <v>#N/A</v>
      </c>
    </row>
    <row r="80" spans="1:9" x14ac:dyDescent="0.25">
      <c r="A80" s="75"/>
      <c r="B80" s="75"/>
      <c r="C80" s="77"/>
      <c r="D80" s="78"/>
      <c r="E80" s="79"/>
      <c r="F80" s="79"/>
      <c r="G80" s="53" t="e" cm="1">
        <f t="array" ref="G80">_xlfn.IFS(RentalAssistance19687378838893981031081131181251301351401451501551605398[[#This Row],[Unit]]="Program-wide",((_xlfn.IFS(RentalAssistance19687378838893981031081131181251301351401451501551605398[[#This Row],[Frequency]]="Per Year",RentalAssistance19687378838893981031081131181251301351401451501551605398[[#This Row],[Cost]]/12,RentalAssistance19687378838893981031081131181251301351401451501551605398[[#This Row],[Frequency]]="Per month",RentalAssistance19687378838893981031081131181251301351401451501551605398[[#This Row],[Cost]],RentalAssistance19687378838893981031081131181251301351401451501551605398[[#This Row],[Frequency]]="Per day",RentalAssistance19687378838893981031081131181251301351401451501551605398[[#This Row],[Cost]]*30,RentalAssistance19687378838893981031081131181251301351401451501551605398[[#This Row],[Frequency]]="One-time",RentalAssistance19687378838893981031081131181251301351401451501551605398[[#This Row],[Cost]]/SUM($C$18,$C$19)))/$C$17),RentalAssistance19687378838893981031081131181251301351401451501551605398[[#This Row],[Unit]]="Per unit/space/household",(_xlfn.IFS(RentalAssistance19687378838893981031081131181251301351401451501551605398[[#This Row],[Frequency]]="Per Year",RentalAssistance19687378838893981031081131181251301351401451501551605398[[#This Row],[Cost]]/12,RentalAssistance19687378838893981031081131181251301351401451501551605398[[#This Row],[Frequency]]="Per month",RentalAssistance19687378838893981031081131181251301351401451501551605398[[#This Row],[Cost]],RentalAssistance19687378838893981031081131181251301351401451501551605398[[#This Row],[Frequency]]="Per day",RentalAssistance19687378838893981031081131181251301351401451501551605398[[#This Row],[Cost]]*30,RentalAssistance19687378838893981031081131181251301351401451501551605398[[#This Row],[Frequency]]="One-time",RentalAssistance19687378838893981031081131181251301351401451501551605398[[#This Row],[Cost]]/SUM($C$18,$C$19))))</f>
        <v>#N/A</v>
      </c>
      <c r="H80" s="46" t="e">
        <f>RentalAssistance19687378838893981031081131181251301351401451501551605398[[#This Row],[Monthly Cost Per Unit]]*12</f>
        <v>#N/A</v>
      </c>
    </row>
    <row r="81" spans="1:8" x14ac:dyDescent="0.25">
      <c r="A81" s="75"/>
      <c r="B81" s="75"/>
      <c r="C81" s="77"/>
      <c r="D81" s="78"/>
      <c r="E81" s="79"/>
      <c r="F81" s="79"/>
      <c r="G81" s="53" t="e" cm="1">
        <f t="array" ref="G81">_xlfn.IFS(RentalAssistance19687378838893981031081131181251301351401451501551605398[[#This Row],[Unit]]="Program-wide",((_xlfn.IFS(RentalAssistance19687378838893981031081131181251301351401451501551605398[[#This Row],[Frequency]]="Per Year",RentalAssistance19687378838893981031081131181251301351401451501551605398[[#This Row],[Cost]]/12,RentalAssistance19687378838893981031081131181251301351401451501551605398[[#This Row],[Frequency]]="Per month",RentalAssistance19687378838893981031081131181251301351401451501551605398[[#This Row],[Cost]],RentalAssistance19687378838893981031081131181251301351401451501551605398[[#This Row],[Frequency]]="Per day",RentalAssistance19687378838893981031081131181251301351401451501551605398[[#This Row],[Cost]]*30,RentalAssistance19687378838893981031081131181251301351401451501551605398[[#This Row],[Frequency]]="One-time",RentalAssistance19687378838893981031081131181251301351401451501551605398[[#This Row],[Cost]]/SUM($C$18,$C$19)))/$C$17),RentalAssistance19687378838893981031081131181251301351401451501551605398[[#This Row],[Unit]]="Per unit/space/household",(_xlfn.IFS(RentalAssistance19687378838893981031081131181251301351401451501551605398[[#This Row],[Frequency]]="Per Year",RentalAssistance19687378838893981031081131181251301351401451501551605398[[#This Row],[Cost]]/12,RentalAssistance19687378838893981031081131181251301351401451501551605398[[#This Row],[Frequency]]="Per month",RentalAssistance19687378838893981031081131181251301351401451501551605398[[#This Row],[Cost]],RentalAssistance19687378838893981031081131181251301351401451501551605398[[#This Row],[Frequency]]="Per day",RentalAssistance19687378838893981031081131181251301351401451501551605398[[#This Row],[Cost]]*30,RentalAssistance19687378838893981031081131181251301351401451501551605398[[#This Row],[Frequency]]="One-time",RentalAssistance19687378838893981031081131181251301351401451501551605398[[#This Row],[Cost]]/SUM($C$18,$C$19))))</f>
        <v>#N/A</v>
      </c>
      <c r="H81" s="46" t="e">
        <f>RentalAssistance19687378838893981031081131181251301351401451501551605398[[#This Row],[Monthly Cost Per Unit]]*12</f>
        <v>#N/A</v>
      </c>
    </row>
    <row r="82" spans="1:8" x14ac:dyDescent="0.25">
      <c r="A82" s="75"/>
      <c r="B82" s="75"/>
      <c r="C82" s="77"/>
      <c r="D82" s="78"/>
      <c r="E82" s="79"/>
      <c r="F82" s="79"/>
      <c r="G82" s="53" t="e" cm="1">
        <f t="array" ref="G82">_xlfn.IFS(RentalAssistance19687378838893981031081131181251301351401451501551605398[[#This Row],[Unit]]="Program-wide",((_xlfn.IFS(RentalAssistance19687378838893981031081131181251301351401451501551605398[[#This Row],[Frequency]]="Per Year",RentalAssistance19687378838893981031081131181251301351401451501551605398[[#This Row],[Cost]]/12,RentalAssistance19687378838893981031081131181251301351401451501551605398[[#This Row],[Frequency]]="Per month",RentalAssistance19687378838893981031081131181251301351401451501551605398[[#This Row],[Cost]],RentalAssistance19687378838893981031081131181251301351401451501551605398[[#This Row],[Frequency]]="Per day",RentalAssistance19687378838893981031081131181251301351401451501551605398[[#This Row],[Cost]]*30,RentalAssistance19687378838893981031081131181251301351401451501551605398[[#This Row],[Frequency]]="One-time",RentalAssistance19687378838893981031081131181251301351401451501551605398[[#This Row],[Cost]]/SUM($C$18,$C$19)))/$C$17),RentalAssistance19687378838893981031081131181251301351401451501551605398[[#This Row],[Unit]]="Per unit/space/household",(_xlfn.IFS(RentalAssistance19687378838893981031081131181251301351401451501551605398[[#This Row],[Frequency]]="Per Year",RentalAssistance19687378838893981031081131181251301351401451501551605398[[#This Row],[Cost]]/12,RentalAssistance19687378838893981031081131181251301351401451501551605398[[#This Row],[Frequency]]="Per month",RentalAssistance19687378838893981031081131181251301351401451501551605398[[#This Row],[Cost]],RentalAssistance19687378838893981031081131181251301351401451501551605398[[#This Row],[Frequency]]="Per day",RentalAssistance19687378838893981031081131181251301351401451501551605398[[#This Row],[Cost]]*30,RentalAssistance19687378838893981031081131181251301351401451501551605398[[#This Row],[Frequency]]="One-time",RentalAssistance19687378838893981031081131181251301351401451501551605398[[#This Row],[Cost]]/SUM($C$18,$C$19))))</f>
        <v>#N/A</v>
      </c>
      <c r="H82" s="46" t="e">
        <f>RentalAssistance19687378838893981031081131181251301351401451501551605398[[#This Row],[Monthly Cost Per Unit]]*12</f>
        <v>#N/A</v>
      </c>
    </row>
    <row r="83" spans="1:8" x14ac:dyDescent="0.25">
      <c r="A83" s="75"/>
      <c r="B83" s="75"/>
      <c r="C83" s="77"/>
      <c r="D83" s="78"/>
      <c r="E83" s="79"/>
      <c r="F83" s="79"/>
      <c r="G83" s="53" t="e" cm="1">
        <f t="array" ref="G83">_xlfn.IFS(RentalAssistance19687378838893981031081131181251301351401451501551605398[[#This Row],[Unit]]="Program-wide",((_xlfn.IFS(RentalAssistance19687378838893981031081131181251301351401451501551605398[[#This Row],[Frequency]]="Per Year",RentalAssistance19687378838893981031081131181251301351401451501551605398[[#This Row],[Cost]]/12,RentalAssistance19687378838893981031081131181251301351401451501551605398[[#This Row],[Frequency]]="Per month",RentalAssistance19687378838893981031081131181251301351401451501551605398[[#This Row],[Cost]],RentalAssistance19687378838893981031081131181251301351401451501551605398[[#This Row],[Frequency]]="Per day",RentalAssistance19687378838893981031081131181251301351401451501551605398[[#This Row],[Cost]]*30,RentalAssistance19687378838893981031081131181251301351401451501551605398[[#This Row],[Frequency]]="One-time",RentalAssistance19687378838893981031081131181251301351401451501551605398[[#This Row],[Cost]]/SUM($C$18,$C$19)))/$C$17),RentalAssistance19687378838893981031081131181251301351401451501551605398[[#This Row],[Unit]]="Per unit/space/household",(_xlfn.IFS(RentalAssistance19687378838893981031081131181251301351401451501551605398[[#This Row],[Frequency]]="Per Year",RentalAssistance19687378838893981031081131181251301351401451501551605398[[#This Row],[Cost]]/12,RentalAssistance19687378838893981031081131181251301351401451501551605398[[#This Row],[Frequency]]="Per month",RentalAssistance19687378838893981031081131181251301351401451501551605398[[#This Row],[Cost]],RentalAssistance19687378838893981031081131181251301351401451501551605398[[#This Row],[Frequency]]="Per day",RentalAssistance19687378838893981031081131181251301351401451501551605398[[#This Row],[Cost]]*30,RentalAssistance19687378838893981031081131181251301351401451501551605398[[#This Row],[Frequency]]="One-time",RentalAssistance19687378838893981031081131181251301351401451501551605398[[#This Row],[Cost]]/SUM($C$18,$C$19))))</f>
        <v>#N/A</v>
      </c>
      <c r="H83" s="46" t="e">
        <f>RentalAssistance19687378838893981031081131181251301351401451501551605398[[#This Row],[Monthly Cost Per Unit]]*12</f>
        <v>#N/A</v>
      </c>
    </row>
    <row r="84" spans="1:8" x14ac:dyDescent="0.25">
      <c r="A84" s="75"/>
      <c r="B84" s="75"/>
      <c r="C84" s="77"/>
      <c r="D84" s="78"/>
      <c r="E84" s="79"/>
      <c r="F84" s="79"/>
      <c r="G84" s="53" t="e" cm="1">
        <f t="array" ref="G84">_xlfn.IFS(RentalAssistance19687378838893981031081131181251301351401451501551605398[[#This Row],[Unit]]="Program-wide",((_xlfn.IFS(RentalAssistance19687378838893981031081131181251301351401451501551605398[[#This Row],[Frequency]]="Per Year",RentalAssistance19687378838893981031081131181251301351401451501551605398[[#This Row],[Cost]]/12,RentalAssistance19687378838893981031081131181251301351401451501551605398[[#This Row],[Frequency]]="Per month",RentalAssistance19687378838893981031081131181251301351401451501551605398[[#This Row],[Cost]],RentalAssistance19687378838893981031081131181251301351401451501551605398[[#This Row],[Frequency]]="Per day",RentalAssistance19687378838893981031081131181251301351401451501551605398[[#This Row],[Cost]]*30,RentalAssistance19687378838893981031081131181251301351401451501551605398[[#This Row],[Frequency]]="One-time",RentalAssistance19687378838893981031081131181251301351401451501551605398[[#This Row],[Cost]]/SUM($C$18,$C$19)))/$C$17),RentalAssistance19687378838893981031081131181251301351401451501551605398[[#This Row],[Unit]]="Per unit/space/household",(_xlfn.IFS(RentalAssistance19687378838893981031081131181251301351401451501551605398[[#This Row],[Frequency]]="Per Year",RentalAssistance19687378838893981031081131181251301351401451501551605398[[#This Row],[Cost]]/12,RentalAssistance19687378838893981031081131181251301351401451501551605398[[#This Row],[Frequency]]="Per month",RentalAssistance19687378838893981031081131181251301351401451501551605398[[#This Row],[Cost]],RentalAssistance19687378838893981031081131181251301351401451501551605398[[#This Row],[Frequency]]="Per day",RentalAssistance19687378838893981031081131181251301351401451501551605398[[#This Row],[Cost]]*30,RentalAssistance19687378838893981031081131181251301351401451501551605398[[#This Row],[Frequency]]="One-time",RentalAssistance19687378838893981031081131181251301351401451501551605398[[#This Row],[Cost]]/SUM($C$18,$C$19))))</f>
        <v>#N/A</v>
      </c>
      <c r="H84" s="46" t="e">
        <f>RentalAssistance19687378838893981031081131181251301351401451501551605398[[#This Row],[Monthly Cost Per Unit]]*12</f>
        <v>#N/A</v>
      </c>
    </row>
    <row r="85" spans="1:8" x14ac:dyDescent="0.25">
      <c r="A85" s="80"/>
      <c r="B85" s="80"/>
      <c r="C85" s="82"/>
      <c r="D85" s="83"/>
      <c r="E85" s="84"/>
      <c r="F85" s="84"/>
      <c r="G85" s="55" t="e" cm="1">
        <f t="array" ref="G85">_xlfn.IFS(RentalAssistance19687378838893981031081131181251301351401451501551605398[[#This Row],[Unit]]="Program-wide",((_xlfn.IFS(RentalAssistance19687378838893981031081131181251301351401451501551605398[[#This Row],[Frequency]]="Per Year",RentalAssistance19687378838893981031081131181251301351401451501551605398[[#This Row],[Cost]]/12,RentalAssistance19687378838893981031081131181251301351401451501551605398[[#This Row],[Frequency]]="Per month",RentalAssistance19687378838893981031081131181251301351401451501551605398[[#This Row],[Cost]],RentalAssistance19687378838893981031081131181251301351401451501551605398[[#This Row],[Frequency]]="Per day",RentalAssistance19687378838893981031081131181251301351401451501551605398[[#This Row],[Cost]]*30,RentalAssistance19687378838893981031081131181251301351401451501551605398[[#This Row],[Frequency]]="One-time",RentalAssistance19687378838893981031081131181251301351401451501551605398[[#This Row],[Cost]]/SUM($C$18,$C$19)))/$C$17),RentalAssistance19687378838893981031081131181251301351401451501551605398[[#This Row],[Unit]]="Per unit/space/household",(_xlfn.IFS(RentalAssistance19687378838893981031081131181251301351401451501551605398[[#This Row],[Frequency]]="Per Year",RentalAssistance19687378838893981031081131181251301351401451501551605398[[#This Row],[Cost]]/12,RentalAssistance19687378838893981031081131181251301351401451501551605398[[#This Row],[Frequency]]="Per month",RentalAssistance19687378838893981031081131181251301351401451501551605398[[#This Row],[Cost]],RentalAssistance19687378838893981031081131181251301351401451501551605398[[#This Row],[Frequency]]="Per day",RentalAssistance19687378838893981031081131181251301351401451501551605398[[#This Row],[Cost]]*30,RentalAssistance19687378838893981031081131181251301351401451501551605398[[#This Row],[Frequency]]="One-time",RentalAssistance19687378838893981031081131181251301351401451501551605398[[#This Row],[Cost]]/SUM($C$18,$C$19))))</f>
        <v>#N/A</v>
      </c>
      <c r="H85" s="46" t="e">
        <f>RentalAssistance19687378838893981031081131181251301351401451501551605398[[#This Row],[Monthly Cost Per Unit]]*12</f>
        <v>#N/A</v>
      </c>
    </row>
    <row r="86" spans="1:8" x14ac:dyDescent="0.25">
      <c r="A86" s="107" t="s">
        <v>20</v>
      </c>
      <c r="B86" s="107"/>
      <c r="C86" s="108" t="s">
        <v>68</v>
      </c>
      <c r="D86" s="109"/>
      <c r="E86" s="108"/>
      <c r="F86" s="108"/>
      <c r="G86" s="118"/>
      <c r="H86" s="111">
        <f>(SUMIF(RentalAssistance19687378838893981031081131181251301351401451501551605398[Duration],"While homeless only",RentalAssistance19687378838893981031081131181251301351401451501551605398[Monthly Cost Per Unit]))*12</f>
        <v>0</v>
      </c>
    </row>
    <row r="87" spans="1:8" x14ac:dyDescent="0.25">
      <c r="A87" s="112"/>
      <c r="B87" s="112"/>
      <c r="C87" s="108" t="s">
        <v>63</v>
      </c>
      <c r="D87" s="109"/>
      <c r="E87" s="108"/>
      <c r="F87" s="108"/>
      <c r="G87" s="111"/>
      <c r="H87" s="111">
        <f>(SUMIF(RentalAssistance19687378838893981031081131181251301351401451501551605398[Duration],"While housed only",RentalAssistance19687378838893981031081131181251301351401451501551605398[Monthly Cost Per Unit]))*12</f>
        <v>0</v>
      </c>
    </row>
    <row r="88" spans="1:8" x14ac:dyDescent="0.25">
      <c r="A88" s="112"/>
      <c r="B88" s="112"/>
      <c r="C88" s="108" t="s">
        <v>58</v>
      </c>
      <c r="D88" s="109"/>
      <c r="E88" s="108"/>
      <c r="F88" s="108"/>
      <c r="G88" s="111"/>
      <c r="H88" s="111">
        <f>(SUMIF(RentalAssistance19687378838893981031081131181251301351401451501551605398[Duration],"Homeless &amp; housed",RentalAssistance19687378838893981031081131181251301351401451501551605398[Monthly Cost Per Unit]))*12</f>
        <v>0</v>
      </c>
    </row>
    <row r="89" spans="1:8" ht="15.75" thickBot="1" x14ac:dyDescent="0.3">
      <c r="A89" s="113"/>
      <c r="B89" s="113"/>
      <c r="C89" s="114" t="s">
        <v>207</v>
      </c>
      <c r="D89" s="115"/>
      <c r="E89" s="114"/>
      <c r="F89" s="114"/>
      <c r="G89" s="117"/>
      <c r="H89" s="117">
        <f>(SUMIF(RentalAssistance19687378838893981031081131181251301351401451501551605398[Duration],"N/A",RentalAssistance19687378838893981031081131181251301351401451501551605398[Monthly Cost Per Unit]))*12</f>
        <v>0</v>
      </c>
    </row>
    <row r="90" spans="1:8" ht="16.5" thickTop="1" thickBot="1" x14ac:dyDescent="0.3">
      <c r="A90" s="113"/>
      <c r="B90" s="113"/>
      <c r="C90" s="114" t="s">
        <v>42</v>
      </c>
      <c r="D90" s="115"/>
      <c r="E90" s="114"/>
      <c r="F90" s="114"/>
      <c r="G90" s="117"/>
      <c r="H90" s="117">
        <f>SUM(H86:H89)</f>
        <v>0</v>
      </c>
    </row>
    <row r="91" spans="1:8" ht="15.75" thickTop="1" x14ac:dyDescent="0.25">
      <c r="A91" s="146"/>
      <c r="B91" s="137"/>
      <c r="C91" s="137"/>
      <c r="D91" s="137"/>
      <c r="E91" s="137"/>
      <c r="F91" s="138"/>
      <c r="G91"/>
      <c r="H91" s="128"/>
    </row>
    <row r="92" spans="1:8" x14ac:dyDescent="0.25">
      <c r="A92" s="274" t="s">
        <v>88</v>
      </c>
      <c r="B92" s="274"/>
      <c r="C92" s="274"/>
      <c r="D92" s="274"/>
      <c r="E92" s="274"/>
      <c r="F92" s="274"/>
      <c r="G92" s="274"/>
      <c r="H92" s="274"/>
    </row>
    <row r="93" spans="1:8" ht="32.25" customHeight="1" outlineLevel="1" x14ac:dyDescent="0.25">
      <c r="A93" s="294" t="s">
        <v>89</v>
      </c>
      <c r="B93" s="294"/>
      <c r="C93" s="294"/>
      <c r="D93" s="294"/>
      <c r="E93" s="294"/>
      <c r="F93" s="294"/>
      <c r="G93" s="294"/>
      <c r="H93" s="294"/>
    </row>
    <row r="94" spans="1:8" ht="30" x14ac:dyDescent="0.25">
      <c r="A94" s="131" t="s">
        <v>51</v>
      </c>
      <c r="B94" s="131" t="s">
        <v>52</v>
      </c>
      <c r="C94" s="131" t="s">
        <v>53</v>
      </c>
      <c r="D94" s="131" t="s">
        <v>54</v>
      </c>
      <c r="E94" s="131" t="s">
        <v>55</v>
      </c>
      <c r="F94" s="131" t="s">
        <v>56</v>
      </c>
      <c r="G94" s="131" t="s">
        <v>57</v>
      </c>
      <c r="H94" s="132" t="s">
        <v>20</v>
      </c>
    </row>
    <row r="95" spans="1:8" x14ac:dyDescent="0.25">
      <c r="A95" s="75"/>
      <c r="B95" s="75"/>
      <c r="C95" s="77"/>
      <c r="D95" s="78"/>
      <c r="E95" s="79"/>
      <c r="F95" s="76"/>
      <c r="G95" s="53" t="e" cm="1">
        <f t="array" ref="G95">_xlfn.IFS(Services110697479848994991041091141191261311361411461511561615499[[#This Row],[Unit]]="Program-wide",((_xlfn.IFS(Services110697479848994991041091141191261311361411461511561615499[[#This Row],[Frequency]]="Per Year",Services110697479848994991041091141191261311361411461511561615499[[#This Row],[Cost]]/12,Services110697479848994991041091141191261311361411461511561615499[[#This Row],[Frequency]]="Per month",Services110697479848994991041091141191261311361411461511561615499[[#This Row],[Cost]],Services110697479848994991041091141191261311361411461511561615499[[#This Row],[Frequency]]="Per day",Services110697479848994991041091141191261311361411461511561615499[[#This Row],[Cost]]*30,Services110697479848994991041091141191261311361411461511561615499[[#This Row],[Frequency]]="One-time",Services110697479848994991041091141191261311361411461511561615499[[#This Row],[Cost]]/SUM($C$18,$C$19)))/$C$17),Services110697479848994991041091141191261311361411461511561615499[[#This Row],[Unit]]="Per unit/space/household",(_xlfn.IFS(Services110697479848994991041091141191261311361411461511561615499[[#This Row],[Frequency]]="Per Year",Services110697479848994991041091141191261311361411461511561615499[[#This Row],[Cost]]/12,Services110697479848994991041091141191261311361411461511561615499[[#This Row],[Frequency]]="Per month",Services110697479848994991041091141191261311361411461511561615499[[#This Row],[Cost]],Services110697479848994991041091141191261311361411461511561615499[[#This Row],[Frequency]]="Per day",Services110697479848994991041091141191261311361411461511561615499[[#This Row],[Cost]]*30,Services110697479848994991041091141191261311361411461511561615499[[#This Row],[Frequency]]="One-time",Services110697479848994991041091141191261311361411461511561615499[[#This Row],[Cost]]/SUM($C$18,$C$19))))</f>
        <v>#N/A</v>
      </c>
      <c r="H95" s="46" t="e">
        <f>Services110697479848994991041091141191261311361411461511561615499[[#This Row],[Monthly Cost Per Unit]]*12</f>
        <v>#N/A</v>
      </c>
    </row>
    <row r="96" spans="1:8" x14ac:dyDescent="0.25">
      <c r="A96" s="75"/>
      <c r="B96" s="75"/>
      <c r="C96" s="77"/>
      <c r="D96" s="78"/>
      <c r="E96" s="79"/>
      <c r="F96" s="76"/>
      <c r="G96" s="53" t="e" cm="1">
        <f t="array" ref="G96">_xlfn.IFS(Services110697479848994991041091141191261311361411461511561615499[[#This Row],[Unit]]="Program-wide",((_xlfn.IFS(Services110697479848994991041091141191261311361411461511561615499[[#This Row],[Frequency]]="Per Year",Services110697479848994991041091141191261311361411461511561615499[[#This Row],[Cost]]/12,Services110697479848994991041091141191261311361411461511561615499[[#This Row],[Frequency]]="Per month",Services110697479848994991041091141191261311361411461511561615499[[#This Row],[Cost]],Services110697479848994991041091141191261311361411461511561615499[[#This Row],[Frequency]]="Per day",Services110697479848994991041091141191261311361411461511561615499[[#This Row],[Cost]]*30,Services110697479848994991041091141191261311361411461511561615499[[#This Row],[Frequency]]="One-time",Services110697479848994991041091141191261311361411461511561615499[[#This Row],[Cost]]/SUM($C$18,$C$19)))/$C$17),Services110697479848994991041091141191261311361411461511561615499[[#This Row],[Unit]]="Per unit/space/household",(_xlfn.IFS(Services110697479848994991041091141191261311361411461511561615499[[#This Row],[Frequency]]="Per Year",Services110697479848994991041091141191261311361411461511561615499[[#This Row],[Cost]]/12,Services110697479848994991041091141191261311361411461511561615499[[#This Row],[Frequency]]="Per month",Services110697479848994991041091141191261311361411461511561615499[[#This Row],[Cost]],Services110697479848994991041091141191261311361411461511561615499[[#This Row],[Frequency]]="Per day",Services110697479848994991041091141191261311361411461511561615499[[#This Row],[Cost]]*30,Services110697479848994991041091141191261311361411461511561615499[[#This Row],[Frequency]]="One-time",Services110697479848994991041091141191261311361411461511561615499[[#This Row],[Cost]]/SUM($C$18,$C$19))))</f>
        <v>#N/A</v>
      </c>
      <c r="H96" s="46" t="e">
        <f>Services110697479848994991041091141191261311361411461511561615499[[#This Row],[Monthly Cost Per Unit]]*12</f>
        <v>#N/A</v>
      </c>
    </row>
    <row r="97" spans="1:8" x14ac:dyDescent="0.25">
      <c r="A97" s="75"/>
      <c r="B97" s="75"/>
      <c r="C97" s="77"/>
      <c r="D97" s="78"/>
      <c r="E97" s="79"/>
      <c r="F97" s="76"/>
      <c r="G97" s="53" t="e" cm="1">
        <f t="array" ref="G97">_xlfn.IFS(Services110697479848994991041091141191261311361411461511561615499[[#This Row],[Unit]]="Program-wide",((_xlfn.IFS(Services110697479848994991041091141191261311361411461511561615499[[#This Row],[Frequency]]="Per Year",Services110697479848994991041091141191261311361411461511561615499[[#This Row],[Cost]]/12,Services110697479848994991041091141191261311361411461511561615499[[#This Row],[Frequency]]="Per month",Services110697479848994991041091141191261311361411461511561615499[[#This Row],[Cost]],Services110697479848994991041091141191261311361411461511561615499[[#This Row],[Frequency]]="Per day",Services110697479848994991041091141191261311361411461511561615499[[#This Row],[Cost]]*30,Services110697479848994991041091141191261311361411461511561615499[[#This Row],[Frequency]]="One-time",Services110697479848994991041091141191261311361411461511561615499[[#This Row],[Cost]]/SUM($C$18,$C$19)))/$C$17),Services110697479848994991041091141191261311361411461511561615499[[#This Row],[Unit]]="Per unit/space/household",(_xlfn.IFS(Services110697479848994991041091141191261311361411461511561615499[[#This Row],[Frequency]]="Per Year",Services110697479848994991041091141191261311361411461511561615499[[#This Row],[Cost]]/12,Services110697479848994991041091141191261311361411461511561615499[[#This Row],[Frequency]]="Per month",Services110697479848994991041091141191261311361411461511561615499[[#This Row],[Cost]],Services110697479848994991041091141191261311361411461511561615499[[#This Row],[Frequency]]="Per day",Services110697479848994991041091141191261311361411461511561615499[[#This Row],[Cost]]*30,Services110697479848994991041091141191261311361411461511561615499[[#This Row],[Frequency]]="One-time",Services110697479848994991041091141191261311361411461511561615499[[#This Row],[Cost]]/SUM($C$18,$C$19))))</f>
        <v>#N/A</v>
      </c>
      <c r="H97" s="46" t="e">
        <f>Services110697479848994991041091141191261311361411461511561615499[[#This Row],[Monthly Cost Per Unit]]*12</f>
        <v>#N/A</v>
      </c>
    </row>
    <row r="98" spans="1:8" x14ac:dyDescent="0.25">
      <c r="A98" s="75"/>
      <c r="B98" s="75"/>
      <c r="C98" s="77"/>
      <c r="D98" s="78"/>
      <c r="E98" s="79"/>
      <c r="F98" s="76"/>
      <c r="G98" s="53" t="e" cm="1">
        <f t="array" ref="G98">_xlfn.IFS(Services110697479848994991041091141191261311361411461511561615499[[#This Row],[Unit]]="Program-wide",((_xlfn.IFS(Services110697479848994991041091141191261311361411461511561615499[[#This Row],[Frequency]]="Per Year",Services110697479848994991041091141191261311361411461511561615499[[#This Row],[Cost]]/12,Services110697479848994991041091141191261311361411461511561615499[[#This Row],[Frequency]]="Per month",Services110697479848994991041091141191261311361411461511561615499[[#This Row],[Cost]],Services110697479848994991041091141191261311361411461511561615499[[#This Row],[Frequency]]="Per day",Services110697479848994991041091141191261311361411461511561615499[[#This Row],[Cost]]*30,Services110697479848994991041091141191261311361411461511561615499[[#This Row],[Frequency]]="One-time",Services110697479848994991041091141191261311361411461511561615499[[#This Row],[Cost]]/SUM($C$18,$C$19)))/$C$17),Services110697479848994991041091141191261311361411461511561615499[[#This Row],[Unit]]="Per unit/space/household",(_xlfn.IFS(Services110697479848994991041091141191261311361411461511561615499[[#This Row],[Frequency]]="Per Year",Services110697479848994991041091141191261311361411461511561615499[[#This Row],[Cost]]/12,Services110697479848994991041091141191261311361411461511561615499[[#This Row],[Frequency]]="Per month",Services110697479848994991041091141191261311361411461511561615499[[#This Row],[Cost]],Services110697479848994991041091141191261311361411461511561615499[[#This Row],[Frequency]]="Per day",Services110697479848994991041091141191261311361411461511561615499[[#This Row],[Cost]]*30,Services110697479848994991041091141191261311361411461511561615499[[#This Row],[Frequency]]="One-time",Services110697479848994991041091141191261311361411461511561615499[[#This Row],[Cost]]/SUM($C$18,$C$19))))</f>
        <v>#N/A</v>
      </c>
      <c r="H98" s="46" t="e">
        <f>Services110697479848994991041091141191261311361411461511561615499[[#This Row],[Monthly Cost Per Unit]]*12</f>
        <v>#N/A</v>
      </c>
    </row>
    <row r="99" spans="1:8" x14ac:dyDescent="0.25">
      <c r="A99" s="75"/>
      <c r="B99" s="75"/>
      <c r="C99" s="77"/>
      <c r="D99" s="78"/>
      <c r="E99" s="79"/>
      <c r="F99" s="76"/>
      <c r="G99" s="53" t="e" cm="1">
        <f t="array" ref="G99">_xlfn.IFS(Services110697479848994991041091141191261311361411461511561615499[[#This Row],[Unit]]="Program-wide",((_xlfn.IFS(Services110697479848994991041091141191261311361411461511561615499[[#This Row],[Frequency]]="Per Year",Services110697479848994991041091141191261311361411461511561615499[[#This Row],[Cost]]/12,Services110697479848994991041091141191261311361411461511561615499[[#This Row],[Frequency]]="Per month",Services110697479848994991041091141191261311361411461511561615499[[#This Row],[Cost]],Services110697479848994991041091141191261311361411461511561615499[[#This Row],[Frequency]]="Per day",Services110697479848994991041091141191261311361411461511561615499[[#This Row],[Cost]]*30,Services110697479848994991041091141191261311361411461511561615499[[#This Row],[Frequency]]="One-time",Services110697479848994991041091141191261311361411461511561615499[[#This Row],[Cost]]/SUM($C$18,$C$19)))/$C$17),Services110697479848994991041091141191261311361411461511561615499[[#This Row],[Unit]]="Per unit/space/household",(_xlfn.IFS(Services110697479848994991041091141191261311361411461511561615499[[#This Row],[Frequency]]="Per Year",Services110697479848994991041091141191261311361411461511561615499[[#This Row],[Cost]]/12,Services110697479848994991041091141191261311361411461511561615499[[#This Row],[Frequency]]="Per month",Services110697479848994991041091141191261311361411461511561615499[[#This Row],[Cost]],Services110697479848994991041091141191261311361411461511561615499[[#This Row],[Frequency]]="Per day",Services110697479848994991041091141191261311361411461511561615499[[#This Row],[Cost]]*30,Services110697479848994991041091141191261311361411461511561615499[[#This Row],[Frequency]]="One-time",Services110697479848994991041091141191261311361411461511561615499[[#This Row],[Cost]]/SUM($C$18,$C$19))))</f>
        <v>#N/A</v>
      </c>
      <c r="H99" s="46" t="e">
        <f>Services110697479848994991041091141191261311361411461511561615499[[#This Row],[Monthly Cost Per Unit]]*12</f>
        <v>#N/A</v>
      </c>
    </row>
    <row r="100" spans="1:8" x14ac:dyDescent="0.25">
      <c r="A100" s="75"/>
      <c r="B100" s="75"/>
      <c r="C100" s="77"/>
      <c r="D100" s="78"/>
      <c r="E100" s="79"/>
      <c r="F100" s="76"/>
      <c r="G100" s="53" t="e" cm="1">
        <f t="array" ref="G100">_xlfn.IFS(Services110697479848994991041091141191261311361411461511561615499[[#This Row],[Unit]]="Program-wide",((_xlfn.IFS(Services110697479848994991041091141191261311361411461511561615499[[#This Row],[Frequency]]="Per Year",Services110697479848994991041091141191261311361411461511561615499[[#This Row],[Cost]]/12,Services110697479848994991041091141191261311361411461511561615499[[#This Row],[Frequency]]="Per month",Services110697479848994991041091141191261311361411461511561615499[[#This Row],[Cost]],Services110697479848994991041091141191261311361411461511561615499[[#This Row],[Frequency]]="Per day",Services110697479848994991041091141191261311361411461511561615499[[#This Row],[Cost]]*30,Services110697479848994991041091141191261311361411461511561615499[[#This Row],[Frequency]]="One-time",Services110697479848994991041091141191261311361411461511561615499[[#This Row],[Cost]]/SUM($C$18,$C$19)))/$C$17),Services110697479848994991041091141191261311361411461511561615499[[#This Row],[Unit]]="Per unit/space/household",(_xlfn.IFS(Services110697479848994991041091141191261311361411461511561615499[[#This Row],[Frequency]]="Per Year",Services110697479848994991041091141191261311361411461511561615499[[#This Row],[Cost]]/12,Services110697479848994991041091141191261311361411461511561615499[[#This Row],[Frequency]]="Per month",Services110697479848994991041091141191261311361411461511561615499[[#This Row],[Cost]],Services110697479848994991041091141191261311361411461511561615499[[#This Row],[Frequency]]="Per day",Services110697479848994991041091141191261311361411461511561615499[[#This Row],[Cost]]*30,Services110697479848994991041091141191261311361411461511561615499[[#This Row],[Frequency]]="One-time",Services110697479848994991041091141191261311361411461511561615499[[#This Row],[Cost]]/SUM($C$18,$C$19))))</f>
        <v>#N/A</v>
      </c>
      <c r="H100" s="46" t="e">
        <f>Services110697479848994991041091141191261311361411461511561615499[[#This Row],[Monthly Cost Per Unit]]*12</f>
        <v>#N/A</v>
      </c>
    </row>
    <row r="101" spans="1:8" x14ac:dyDescent="0.25">
      <c r="A101" s="75"/>
      <c r="B101" s="75"/>
      <c r="C101" s="77"/>
      <c r="D101" s="78"/>
      <c r="E101" s="79"/>
      <c r="F101" s="76"/>
      <c r="G101" s="53" t="e" cm="1">
        <f t="array" ref="G101">_xlfn.IFS(Services110697479848994991041091141191261311361411461511561615499[[#This Row],[Unit]]="Program-wide",((_xlfn.IFS(Services110697479848994991041091141191261311361411461511561615499[[#This Row],[Frequency]]="Per Year",Services110697479848994991041091141191261311361411461511561615499[[#This Row],[Cost]]/12,Services110697479848994991041091141191261311361411461511561615499[[#This Row],[Frequency]]="Per month",Services110697479848994991041091141191261311361411461511561615499[[#This Row],[Cost]],Services110697479848994991041091141191261311361411461511561615499[[#This Row],[Frequency]]="Per day",Services110697479848994991041091141191261311361411461511561615499[[#This Row],[Cost]]*30,Services110697479848994991041091141191261311361411461511561615499[[#This Row],[Frequency]]="One-time",Services110697479848994991041091141191261311361411461511561615499[[#This Row],[Cost]]/SUM($C$18,$C$19)))/$C$17),Services110697479848994991041091141191261311361411461511561615499[[#This Row],[Unit]]="Per unit/space/household",(_xlfn.IFS(Services110697479848994991041091141191261311361411461511561615499[[#This Row],[Frequency]]="Per Year",Services110697479848994991041091141191261311361411461511561615499[[#This Row],[Cost]]/12,Services110697479848994991041091141191261311361411461511561615499[[#This Row],[Frequency]]="Per month",Services110697479848994991041091141191261311361411461511561615499[[#This Row],[Cost]],Services110697479848994991041091141191261311361411461511561615499[[#This Row],[Frequency]]="Per day",Services110697479848994991041091141191261311361411461511561615499[[#This Row],[Cost]]*30,Services110697479848994991041091141191261311361411461511561615499[[#This Row],[Frequency]]="One-time",Services110697479848994991041091141191261311361411461511561615499[[#This Row],[Cost]]/SUM($C$18,$C$19))))</f>
        <v>#N/A</v>
      </c>
      <c r="H101" s="46" t="e">
        <f>Services110697479848994991041091141191261311361411461511561615499[[#This Row],[Monthly Cost Per Unit]]*12</f>
        <v>#N/A</v>
      </c>
    </row>
    <row r="102" spans="1:8" x14ac:dyDescent="0.25">
      <c r="A102" s="75"/>
      <c r="B102" s="75"/>
      <c r="C102" s="77"/>
      <c r="D102" s="78"/>
      <c r="E102" s="79"/>
      <c r="F102" s="76"/>
      <c r="G102" s="53" t="e" cm="1">
        <f t="array" ref="G102">_xlfn.IFS(Services110697479848994991041091141191261311361411461511561615499[[#This Row],[Unit]]="Program-wide",((_xlfn.IFS(Services110697479848994991041091141191261311361411461511561615499[[#This Row],[Frequency]]="Per Year",Services110697479848994991041091141191261311361411461511561615499[[#This Row],[Cost]]/12,Services110697479848994991041091141191261311361411461511561615499[[#This Row],[Frequency]]="Per month",Services110697479848994991041091141191261311361411461511561615499[[#This Row],[Cost]],Services110697479848994991041091141191261311361411461511561615499[[#This Row],[Frequency]]="Per day",Services110697479848994991041091141191261311361411461511561615499[[#This Row],[Cost]]*30,Services110697479848994991041091141191261311361411461511561615499[[#This Row],[Frequency]]="One-time",Services110697479848994991041091141191261311361411461511561615499[[#This Row],[Cost]]/SUM($C$18,$C$19)))/$C$17),Services110697479848994991041091141191261311361411461511561615499[[#This Row],[Unit]]="Per unit/space/household",(_xlfn.IFS(Services110697479848994991041091141191261311361411461511561615499[[#This Row],[Frequency]]="Per Year",Services110697479848994991041091141191261311361411461511561615499[[#This Row],[Cost]]/12,Services110697479848994991041091141191261311361411461511561615499[[#This Row],[Frequency]]="Per month",Services110697479848994991041091141191261311361411461511561615499[[#This Row],[Cost]],Services110697479848994991041091141191261311361411461511561615499[[#This Row],[Frequency]]="Per day",Services110697479848994991041091141191261311361411461511561615499[[#This Row],[Cost]]*30,Services110697479848994991041091141191261311361411461511561615499[[#This Row],[Frequency]]="One-time",Services110697479848994991041091141191261311361411461511561615499[[#This Row],[Cost]]/SUM($C$18,$C$19))))</f>
        <v>#N/A</v>
      </c>
      <c r="H102" s="46" t="e">
        <f>Services110697479848994991041091141191261311361411461511561615499[[#This Row],[Monthly Cost Per Unit]]*12</f>
        <v>#N/A</v>
      </c>
    </row>
    <row r="103" spans="1:8" x14ac:dyDescent="0.25">
      <c r="A103" s="75"/>
      <c r="B103" s="75"/>
      <c r="C103" s="77"/>
      <c r="D103" s="78"/>
      <c r="E103" s="79"/>
      <c r="F103" s="76"/>
      <c r="G103" s="53" t="e" cm="1">
        <f t="array" ref="G103">_xlfn.IFS(Services110697479848994991041091141191261311361411461511561615499[[#This Row],[Unit]]="Program-wide",((_xlfn.IFS(Services110697479848994991041091141191261311361411461511561615499[[#This Row],[Frequency]]="Per Year",Services110697479848994991041091141191261311361411461511561615499[[#This Row],[Cost]]/12,Services110697479848994991041091141191261311361411461511561615499[[#This Row],[Frequency]]="Per month",Services110697479848994991041091141191261311361411461511561615499[[#This Row],[Cost]],Services110697479848994991041091141191261311361411461511561615499[[#This Row],[Frequency]]="Per day",Services110697479848994991041091141191261311361411461511561615499[[#This Row],[Cost]]*30,Services110697479848994991041091141191261311361411461511561615499[[#This Row],[Frequency]]="One-time",Services110697479848994991041091141191261311361411461511561615499[[#This Row],[Cost]]/SUM($C$18,$C$19)))/$C$17),Services110697479848994991041091141191261311361411461511561615499[[#This Row],[Unit]]="Per unit/space/household",(_xlfn.IFS(Services110697479848994991041091141191261311361411461511561615499[[#This Row],[Frequency]]="Per Year",Services110697479848994991041091141191261311361411461511561615499[[#This Row],[Cost]]/12,Services110697479848994991041091141191261311361411461511561615499[[#This Row],[Frequency]]="Per month",Services110697479848994991041091141191261311361411461511561615499[[#This Row],[Cost]],Services110697479848994991041091141191261311361411461511561615499[[#This Row],[Frequency]]="Per day",Services110697479848994991041091141191261311361411461511561615499[[#This Row],[Cost]]*30,Services110697479848994991041091141191261311361411461511561615499[[#This Row],[Frequency]]="One-time",Services110697479848994991041091141191261311361411461511561615499[[#This Row],[Cost]]/SUM($C$18,$C$19))))</f>
        <v>#N/A</v>
      </c>
      <c r="H103" s="46" t="e">
        <f>Services110697479848994991041091141191261311361411461511561615499[[#This Row],[Monthly Cost Per Unit]]*12</f>
        <v>#N/A</v>
      </c>
    </row>
    <row r="104" spans="1:8" x14ac:dyDescent="0.25">
      <c r="A104" s="75"/>
      <c r="B104" s="75"/>
      <c r="C104" s="77"/>
      <c r="D104" s="78"/>
      <c r="E104" s="79"/>
      <c r="F104" s="76"/>
      <c r="G104" s="53" t="e" cm="1">
        <f t="array" ref="G104">_xlfn.IFS(Services110697479848994991041091141191261311361411461511561615499[[#This Row],[Unit]]="Program-wide",((_xlfn.IFS(Services110697479848994991041091141191261311361411461511561615499[[#This Row],[Frequency]]="Per Year",Services110697479848994991041091141191261311361411461511561615499[[#This Row],[Cost]]/12,Services110697479848994991041091141191261311361411461511561615499[[#This Row],[Frequency]]="Per month",Services110697479848994991041091141191261311361411461511561615499[[#This Row],[Cost]],Services110697479848994991041091141191261311361411461511561615499[[#This Row],[Frequency]]="Per day",Services110697479848994991041091141191261311361411461511561615499[[#This Row],[Cost]]*30,Services110697479848994991041091141191261311361411461511561615499[[#This Row],[Frequency]]="One-time",Services110697479848994991041091141191261311361411461511561615499[[#This Row],[Cost]]/SUM($C$18,$C$19)))/$C$17),Services110697479848994991041091141191261311361411461511561615499[[#This Row],[Unit]]="Per unit/space/household",(_xlfn.IFS(Services110697479848994991041091141191261311361411461511561615499[[#This Row],[Frequency]]="Per Year",Services110697479848994991041091141191261311361411461511561615499[[#This Row],[Cost]]/12,Services110697479848994991041091141191261311361411461511561615499[[#This Row],[Frequency]]="Per month",Services110697479848994991041091141191261311361411461511561615499[[#This Row],[Cost]],Services110697479848994991041091141191261311361411461511561615499[[#This Row],[Frequency]]="Per day",Services110697479848994991041091141191261311361411461511561615499[[#This Row],[Cost]]*30,Services110697479848994991041091141191261311361411461511561615499[[#This Row],[Frequency]]="One-time",Services110697479848994991041091141191261311361411461511561615499[[#This Row],[Cost]]/SUM($C$18,$C$19))))</f>
        <v>#N/A</v>
      </c>
      <c r="H104" s="46" t="e">
        <f>Services110697479848994991041091141191261311361411461511561615499[[#This Row],[Monthly Cost Per Unit]]*12</f>
        <v>#N/A</v>
      </c>
    </row>
    <row r="105" spans="1:8" x14ac:dyDescent="0.25">
      <c r="A105" s="75"/>
      <c r="B105" s="75"/>
      <c r="C105" s="77"/>
      <c r="D105" s="78"/>
      <c r="E105" s="79"/>
      <c r="F105" s="76"/>
      <c r="G105" s="53" t="e" cm="1">
        <f t="array" ref="G105">_xlfn.IFS(Services110697479848994991041091141191261311361411461511561615499[[#This Row],[Unit]]="Program-wide",((_xlfn.IFS(Services110697479848994991041091141191261311361411461511561615499[[#This Row],[Frequency]]="Per Year",Services110697479848994991041091141191261311361411461511561615499[[#This Row],[Cost]]/12,Services110697479848994991041091141191261311361411461511561615499[[#This Row],[Frequency]]="Per month",Services110697479848994991041091141191261311361411461511561615499[[#This Row],[Cost]],Services110697479848994991041091141191261311361411461511561615499[[#This Row],[Frequency]]="Per day",Services110697479848994991041091141191261311361411461511561615499[[#This Row],[Cost]]*30,Services110697479848994991041091141191261311361411461511561615499[[#This Row],[Frequency]]="One-time",Services110697479848994991041091141191261311361411461511561615499[[#This Row],[Cost]]/SUM($C$18,$C$19)))/$C$17),Services110697479848994991041091141191261311361411461511561615499[[#This Row],[Unit]]="Per unit/space/household",(_xlfn.IFS(Services110697479848994991041091141191261311361411461511561615499[[#This Row],[Frequency]]="Per Year",Services110697479848994991041091141191261311361411461511561615499[[#This Row],[Cost]]/12,Services110697479848994991041091141191261311361411461511561615499[[#This Row],[Frequency]]="Per month",Services110697479848994991041091141191261311361411461511561615499[[#This Row],[Cost]],Services110697479848994991041091141191261311361411461511561615499[[#This Row],[Frequency]]="Per day",Services110697479848994991041091141191261311361411461511561615499[[#This Row],[Cost]]*30,Services110697479848994991041091141191261311361411461511561615499[[#This Row],[Frequency]]="One-time",Services110697479848994991041091141191261311361411461511561615499[[#This Row],[Cost]]/SUM($C$18,$C$19))))</f>
        <v>#N/A</v>
      </c>
      <c r="H105" s="46" t="e">
        <f>Services110697479848994991041091141191261311361411461511561615499[[#This Row],[Monthly Cost Per Unit]]*12</f>
        <v>#N/A</v>
      </c>
    </row>
    <row r="106" spans="1:8" x14ac:dyDescent="0.25">
      <c r="A106" s="75"/>
      <c r="B106" s="75"/>
      <c r="C106" s="77"/>
      <c r="D106" s="78"/>
      <c r="E106" s="79"/>
      <c r="F106" s="76"/>
      <c r="G106" s="53" t="e" cm="1">
        <f t="array" ref="G106">_xlfn.IFS(Services110697479848994991041091141191261311361411461511561615499[[#This Row],[Unit]]="Program-wide",((_xlfn.IFS(Services110697479848994991041091141191261311361411461511561615499[[#This Row],[Frequency]]="Per Year",Services110697479848994991041091141191261311361411461511561615499[[#This Row],[Cost]]/12,Services110697479848994991041091141191261311361411461511561615499[[#This Row],[Frequency]]="Per month",Services110697479848994991041091141191261311361411461511561615499[[#This Row],[Cost]],Services110697479848994991041091141191261311361411461511561615499[[#This Row],[Frequency]]="Per day",Services110697479848994991041091141191261311361411461511561615499[[#This Row],[Cost]]*30,Services110697479848994991041091141191261311361411461511561615499[[#This Row],[Frequency]]="One-time",Services110697479848994991041091141191261311361411461511561615499[[#This Row],[Cost]]/SUM($C$18,$C$19)))/$C$17),Services110697479848994991041091141191261311361411461511561615499[[#This Row],[Unit]]="Per unit/space/household",(_xlfn.IFS(Services110697479848994991041091141191261311361411461511561615499[[#This Row],[Frequency]]="Per Year",Services110697479848994991041091141191261311361411461511561615499[[#This Row],[Cost]]/12,Services110697479848994991041091141191261311361411461511561615499[[#This Row],[Frequency]]="Per month",Services110697479848994991041091141191261311361411461511561615499[[#This Row],[Cost]],Services110697479848994991041091141191261311361411461511561615499[[#This Row],[Frequency]]="Per day",Services110697479848994991041091141191261311361411461511561615499[[#This Row],[Cost]]*30,Services110697479848994991041091141191261311361411461511561615499[[#This Row],[Frequency]]="One-time",Services110697479848994991041091141191261311361411461511561615499[[#This Row],[Cost]]/SUM($C$18,$C$19))))</f>
        <v>#N/A</v>
      </c>
      <c r="H106" s="46" t="e">
        <f>Services110697479848994991041091141191261311361411461511561615499[[#This Row],[Monthly Cost Per Unit]]*12</f>
        <v>#N/A</v>
      </c>
    </row>
    <row r="107" spans="1:8" x14ac:dyDescent="0.25">
      <c r="A107" s="80"/>
      <c r="B107" s="80"/>
      <c r="C107" s="82"/>
      <c r="D107" s="83"/>
      <c r="E107" s="84"/>
      <c r="F107" s="81"/>
      <c r="G107" s="55" t="e" cm="1">
        <f t="array" ref="G107">_xlfn.IFS(Services110697479848994991041091141191261311361411461511561615499[[#This Row],[Unit]]="Program-wide",((_xlfn.IFS(Services110697479848994991041091141191261311361411461511561615499[[#This Row],[Frequency]]="Per Year",Services110697479848994991041091141191261311361411461511561615499[[#This Row],[Cost]]/12,Services110697479848994991041091141191261311361411461511561615499[[#This Row],[Frequency]]="Per month",Services110697479848994991041091141191261311361411461511561615499[[#This Row],[Cost]],Services110697479848994991041091141191261311361411461511561615499[[#This Row],[Frequency]]="Per day",Services110697479848994991041091141191261311361411461511561615499[[#This Row],[Cost]]*30,Services110697479848994991041091141191261311361411461511561615499[[#This Row],[Frequency]]="One-time",Services110697479848994991041091141191261311361411461511561615499[[#This Row],[Cost]]/SUM($C$18,$C$19)))/$C$17),Services110697479848994991041091141191261311361411461511561615499[[#This Row],[Unit]]="Per unit/space/household",(_xlfn.IFS(Services110697479848994991041091141191261311361411461511561615499[[#This Row],[Frequency]]="Per Year",Services110697479848994991041091141191261311361411461511561615499[[#This Row],[Cost]]/12,Services110697479848994991041091141191261311361411461511561615499[[#This Row],[Frequency]]="Per month",Services110697479848994991041091141191261311361411461511561615499[[#This Row],[Cost]],Services110697479848994991041091141191261311361411461511561615499[[#This Row],[Frequency]]="Per day",Services110697479848994991041091141191261311361411461511561615499[[#This Row],[Cost]]*30,Services110697479848994991041091141191261311361411461511561615499[[#This Row],[Frequency]]="One-time",Services110697479848994991041091141191261311361411461511561615499[[#This Row],[Cost]]/SUM($C$18,$C$19))))</f>
        <v>#N/A</v>
      </c>
      <c r="H107" s="46" t="e">
        <f>Services110697479848994991041091141191261311361411461511561615499[[#This Row],[Monthly Cost Per Unit]]*12</f>
        <v>#N/A</v>
      </c>
    </row>
    <row r="108" spans="1:8" x14ac:dyDescent="0.25">
      <c r="A108" s="107" t="s">
        <v>20</v>
      </c>
      <c r="B108" s="107"/>
      <c r="C108" s="108" t="s">
        <v>68</v>
      </c>
      <c r="D108" s="109"/>
      <c r="E108" s="108"/>
      <c r="F108" s="108"/>
      <c r="G108" s="118"/>
      <c r="H108" s="111">
        <f>(SUMIF(Services110697479848994991041091141191261311361411461511561615499[Duration],"While homeless only",Services110697479848994991041091141191261311361411461511561615499[Monthly Cost Per Unit]))*12</f>
        <v>0</v>
      </c>
    </row>
    <row r="109" spans="1:8" x14ac:dyDescent="0.25">
      <c r="A109" s="112"/>
      <c r="B109" s="112"/>
      <c r="C109" s="108" t="s">
        <v>63</v>
      </c>
      <c r="D109" s="109"/>
      <c r="E109" s="108"/>
      <c r="F109" s="108"/>
      <c r="G109" s="111"/>
      <c r="H109" s="111">
        <f>(SUMIF(Services110697479848994991041091141191261311361411461511561615499[Duration],"While housed only",Services110697479848994991041091141191261311361411461511561615499[Monthly Cost Per Unit]))*12</f>
        <v>0</v>
      </c>
    </row>
    <row r="110" spans="1:8" x14ac:dyDescent="0.25">
      <c r="A110" s="112"/>
      <c r="B110" s="112"/>
      <c r="C110" s="108" t="s">
        <v>58</v>
      </c>
      <c r="D110" s="109"/>
      <c r="E110" s="108"/>
      <c r="F110" s="108"/>
      <c r="G110" s="111"/>
      <c r="H110" s="111">
        <f>(SUMIF(Services110697479848994991041091141191261311361411461511561615499[Duration],"Homeless &amp; housed",Services110697479848994991041091141191261311361411461511561615499[Monthly Cost Per Unit]))*12</f>
        <v>0</v>
      </c>
    </row>
    <row r="111" spans="1:8" ht="15.75" thickBot="1" x14ac:dyDescent="0.3">
      <c r="A111" s="113"/>
      <c r="B111" s="113"/>
      <c r="C111" s="114" t="s">
        <v>207</v>
      </c>
      <c r="D111" s="115"/>
      <c r="E111" s="114"/>
      <c r="F111" s="114"/>
      <c r="G111" s="117"/>
      <c r="H111" s="117">
        <f>(SUMIF(Services110697479848994991041091141191261311361411461511561615499[Duration],"N/A",Services110697479848994991041091141191261311361411461511561615499[Monthly Cost Per Unit]))*12</f>
        <v>0</v>
      </c>
    </row>
    <row r="112" spans="1:8" ht="16.5" thickTop="1" thickBot="1" x14ac:dyDescent="0.3">
      <c r="A112" s="113"/>
      <c r="B112" s="113"/>
      <c r="C112" s="114" t="s">
        <v>42</v>
      </c>
      <c r="D112" s="115"/>
      <c r="E112" s="114"/>
      <c r="F112" s="114"/>
      <c r="G112" s="117"/>
      <c r="H112" s="117">
        <f>SUM(H108:H111)</f>
        <v>0</v>
      </c>
    </row>
    <row r="113" spans="1:9" ht="15.75" thickTop="1" x14ac:dyDescent="0.25">
      <c r="A113"/>
      <c r="F113"/>
      <c r="G113"/>
      <c r="H113" s="128"/>
    </row>
    <row r="114" spans="1:9" x14ac:dyDescent="0.25">
      <c r="A114" s="274" t="s">
        <v>90</v>
      </c>
      <c r="B114" s="274"/>
      <c r="C114" s="274"/>
      <c r="D114" s="274"/>
      <c r="E114" s="274"/>
      <c r="F114" s="274"/>
      <c r="G114" s="274"/>
      <c r="H114" s="274"/>
    </row>
    <row r="115" spans="1:9" ht="33" customHeight="1" outlineLevel="1" x14ac:dyDescent="0.25">
      <c r="A115" s="294" t="s">
        <v>91</v>
      </c>
      <c r="B115" s="294"/>
      <c r="C115" s="294"/>
      <c r="D115" s="294"/>
      <c r="E115" s="294"/>
      <c r="F115" s="294"/>
      <c r="G115" s="294"/>
      <c r="H115" s="294"/>
    </row>
    <row r="116" spans="1:9" s="3" customFormat="1" ht="28.35" customHeight="1" x14ac:dyDescent="0.25">
      <c r="A116" s="131" t="s">
        <v>51</v>
      </c>
      <c r="B116" s="131" t="s">
        <v>52</v>
      </c>
      <c r="C116" s="131" t="s">
        <v>53</v>
      </c>
      <c r="D116" s="131" t="s">
        <v>54</v>
      </c>
      <c r="E116" s="131" t="s">
        <v>55</v>
      </c>
      <c r="F116" s="131" t="s">
        <v>56</v>
      </c>
      <c r="G116" s="131" t="s">
        <v>57</v>
      </c>
      <c r="H116" s="132" t="s">
        <v>20</v>
      </c>
    </row>
    <row r="117" spans="1:9" x14ac:dyDescent="0.25">
      <c r="A117" s="75"/>
      <c r="B117" s="75"/>
      <c r="C117" s="77"/>
      <c r="D117" s="78"/>
      <c r="E117" s="79"/>
      <c r="F117" s="79"/>
      <c r="G117" s="53" t="e" cm="1">
        <f t="array" ref="G117">_xlfn.IFS(Other11170758085909510010511011512012713213714214715215716255100[[#This Row],[Unit]]="Program-wide",((_xlfn.IFS(Other11170758085909510010511011512012713213714214715215716255100[[#This Row],[Frequency]]="Per Year",Other11170758085909510010511011512012713213714214715215716255100[[#This Row],[Cost]]/12,Other11170758085909510010511011512012713213714214715215716255100[[#This Row],[Frequency]]="Per month",Other11170758085909510010511011512012713213714214715215716255100[[#This Row],[Cost]],Other11170758085909510010511011512012713213714214715215716255100[[#This Row],[Frequency]]="Per day",Other11170758085909510010511011512012713213714214715215716255100[[#This Row],[Cost]]*30,Other11170758085909510010511011512012713213714214715215716255100[[#This Row],[Frequency]]="One-time",Other11170758085909510010511011512012713213714214715215716255100[[#This Row],[Cost]]/SUM($C$18,$C$19)))/$C$17),Other11170758085909510010511011512012713213714214715215716255100[[#This Row],[Unit]]="Per unit/space/household",(_xlfn.IFS(Other11170758085909510010511011512012713213714214715215716255100[[#This Row],[Frequency]]="Per Year",Other11170758085909510010511011512012713213714214715215716255100[[#This Row],[Cost]]/12,Other11170758085909510010511011512012713213714214715215716255100[[#This Row],[Frequency]]="Per month",Other11170758085909510010511011512012713213714214715215716255100[[#This Row],[Cost]],Other11170758085909510010511011512012713213714214715215716255100[[#This Row],[Frequency]]="Per day",Other11170758085909510010511011512012713213714214715215716255100[[#This Row],[Cost]]*30,Other11170758085909510010511011512012713213714214715215716255100[[#This Row],[Frequency]]="One-time",Other11170758085909510010511011512012713213714214715215716255100[[#This Row],[Cost]]/SUM($C$18,$C$19))))</f>
        <v>#N/A</v>
      </c>
      <c r="H117" s="46" t="e">
        <f>Other11170758085909510010511011512012713213714214715215716255100[[#This Row],[Monthly Cost Per Unit]]*12</f>
        <v>#N/A</v>
      </c>
    </row>
    <row r="118" spans="1:9" x14ac:dyDescent="0.25">
      <c r="A118" s="75"/>
      <c r="B118" s="75"/>
      <c r="C118" s="77"/>
      <c r="D118" s="78"/>
      <c r="E118" s="79"/>
      <c r="F118" s="79"/>
      <c r="G118" s="53" t="e" cm="1">
        <f t="array" ref="G118">_xlfn.IFS(Other11170758085909510010511011512012713213714214715215716255100[[#This Row],[Unit]]="Program-wide",((_xlfn.IFS(Other11170758085909510010511011512012713213714214715215716255100[[#This Row],[Frequency]]="Per Year",Other11170758085909510010511011512012713213714214715215716255100[[#This Row],[Cost]]/12,Other11170758085909510010511011512012713213714214715215716255100[[#This Row],[Frequency]]="Per month",Other11170758085909510010511011512012713213714214715215716255100[[#This Row],[Cost]],Other11170758085909510010511011512012713213714214715215716255100[[#This Row],[Frequency]]="Per day",Other11170758085909510010511011512012713213714214715215716255100[[#This Row],[Cost]]*30,Other11170758085909510010511011512012713213714214715215716255100[[#This Row],[Frequency]]="One-time",Other11170758085909510010511011512012713213714214715215716255100[[#This Row],[Cost]]/SUM($C$18,$C$19)))/$C$17),Other11170758085909510010511011512012713213714214715215716255100[[#This Row],[Unit]]="Per unit/space/household",(_xlfn.IFS(Other11170758085909510010511011512012713213714214715215716255100[[#This Row],[Frequency]]="Per Year",Other11170758085909510010511011512012713213714214715215716255100[[#This Row],[Cost]]/12,Other11170758085909510010511011512012713213714214715215716255100[[#This Row],[Frequency]]="Per month",Other11170758085909510010511011512012713213714214715215716255100[[#This Row],[Cost]],Other11170758085909510010511011512012713213714214715215716255100[[#This Row],[Frequency]]="Per day",Other11170758085909510010511011512012713213714214715215716255100[[#This Row],[Cost]]*30,Other11170758085909510010511011512012713213714214715215716255100[[#This Row],[Frequency]]="One-time",Other11170758085909510010511011512012713213714214715215716255100[[#This Row],[Cost]]/SUM($C$18,$C$19))))</f>
        <v>#N/A</v>
      </c>
      <c r="H118" s="46" t="e">
        <f>Other11170758085909510010511011512012713213714214715215716255100[[#This Row],[Monthly Cost Per Unit]]*12</f>
        <v>#N/A</v>
      </c>
    </row>
    <row r="119" spans="1:9" x14ac:dyDescent="0.25">
      <c r="A119" s="75"/>
      <c r="B119" s="75"/>
      <c r="C119" s="77"/>
      <c r="D119" s="78"/>
      <c r="E119" s="79"/>
      <c r="F119" s="79"/>
      <c r="G119" s="53" t="e" cm="1">
        <f t="array" ref="G119">_xlfn.IFS(Other11170758085909510010511011512012713213714214715215716255100[[#This Row],[Unit]]="Program-wide",((_xlfn.IFS(Other11170758085909510010511011512012713213714214715215716255100[[#This Row],[Frequency]]="Per Year",Other11170758085909510010511011512012713213714214715215716255100[[#This Row],[Cost]]/12,Other11170758085909510010511011512012713213714214715215716255100[[#This Row],[Frequency]]="Per month",Other11170758085909510010511011512012713213714214715215716255100[[#This Row],[Cost]],Other11170758085909510010511011512012713213714214715215716255100[[#This Row],[Frequency]]="Per day",Other11170758085909510010511011512012713213714214715215716255100[[#This Row],[Cost]]*30,Other11170758085909510010511011512012713213714214715215716255100[[#This Row],[Frequency]]="One-time",Other11170758085909510010511011512012713213714214715215716255100[[#This Row],[Cost]]/SUM($C$18,$C$19)))/$C$17),Other11170758085909510010511011512012713213714214715215716255100[[#This Row],[Unit]]="Per unit/space/household",(_xlfn.IFS(Other11170758085909510010511011512012713213714214715215716255100[[#This Row],[Frequency]]="Per Year",Other11170758085909510010511011512012713213714214715215716255100[[#This Row],[Cost]]/12,Other11170758085909510010511011512012713213714214715215716255100[[#This Row],[Frequency]]="Per month",Other11170758085909510010511011512012713213714214715215716255100[[#This Row],[Cost]],Other11170758085909510010511011512012713213714214715215716255100[[#This Row],[Frequency]]="Per day",Other11170758085909510010511011512012713213714214715215716255100[[#This Row],[Cost]]*30,Other11170758085909510010511011512012713213714214715215716255100[[#This Row],[Frequency]]="One-time",Other11170758085909510010511011512012713213714214715215716255100[[#This Row],[Cost]]/SUM($C$18,$C$19))))</f>
        <v>#N/A</v>
      </c>
      <c r="H119" s="46" t="e">
        <f>Other11170758085909510010511011512012713213714214715215716255100[[#This Row],[Monthly Cost Per Unit]]*12</f>
        <v>#N/A</v>
      </c>
    </row>
    <row r="120" spans="1:9" x14ac:dyDescent="0.25">
      <c r="A120" s="75"/>
      <c r="B120" s="75"/>
      <c r="C120" s="77"/>
      <c r="D120" s="78"/>
      <c r="E120" s="79"/>
      <c r="F120" s="79"/>
      <c r="G120" s="53" t="e" cm="1">
        <f t="array" ref="G120">_xlfn.IFS(Other11170758085909510010511011512012713213714214715215716255100[[#This Row],[Unit]]="Program-wide",((_xlfn.IFS(Other11170758085909510010511011512012713213714214715215716255100[[#This Row],[Frequency]]="Per Year",Other11170758085909510010511011512012713213714214715215716255100[[#This Row],[Cost]]/12,Other11170758085909510010511011512012713213714214715215716255100[[#This Row],[Frequency]]="Per month",Other11170758085909510010511011512012713213714214715215716255100[[#This Row],[Cost]],Other11170758085909510010511011512012713213714214715215716255100[[#This Row],[Frequency]]="Per day",Other11170758085909510010511011512012713213714214715215716255100[[#This Row],[Cost]]*30,Other11170758085909510010511011512012713213714214715215716255100[[#This Row],[Frequency]]="One-time",Other11170758085909510010511011512012713213714214715215716255100[[#This Row],[Cost]]/SUM($C$18,$C$19)))/$C$17),Other11170758085909510010511011512012713213714214715215716255100[[#This Row],[Unit]]="Per unit/space/household",(_xlfn.IFS(Other11170758085909510010511011512012713213714214715215716255100[[#This Row],[Frequency]]="Per Year",Other11170758085909510010511011512012713213714214715215716255100[[#This Row],[Cost]]/12,Other11170758085909510010511011512012713213714214715215716255100[[#This Row],[Frequency]]="Per month",Other11170758085909510010511011512012713213714214715215716255100[[#This Row],[Cost]],Other11170758085909510010511011512012713213714214715215716255100[[#This Row],[Frequency]]="Per day",Other11170758085909510010511011512012713213714214715215716255100[[#This Row],[Cost]]*30,Other11170758085909510010511011512012713213714214715215716255100[[#This Row],[Frequency]]="One-time",Other11170758085909510010511011512012713213714214715215716255100[[#This Row],[Cost]]/SUM($C$18,$C$19))))</f>
        <v>#N/A</v>
      </c>
      <c r="H120" s="46" t="e">
        <f>Other11170758085909510010511011512012713213714214715215716255100[[#This Row],[Monthly Cost Per Unit]]*12</f>
        <v>#N/A</v>
      </c>
    </row>
    <row r="121" spans="1:9" s="1" customFormat="1" x14ac:dyDescent="0.25">
      <c r="A121" s="80"/>
      <c r="B121" s="80"/>
      <c r="C121" s="82"/>
      <c r="D121" s="83"/>
      <c r="E121" s="84"/>
      <c r="F121" s="84"/>
      <c r="G121" s="55" t="e" cm="1">
        <f t="array" ref="G121">_xlfn.IFS(Other11170758085909510010511011512012713213714214715215716255100[[#This Row],[Unit]]="Program-wide",((_xlfn.IFS(Other11170758085909510010511011512012713213714214715215716255100[[#This Row],[Frequency]]="Per Year",Other11170758085909510010511011512012713213714214715215716255100[[#This Row],[Cost]]/12,Other11170758085909510010511011512012713213714214715215716255100[[#This Row],[Frequency]]="Per month",Other11170758085909510010511011512012713213714214715215716255100[[#This Row],[Cost]],Other11170758085909510010511011512012713213714214715215716255100[[#This Row],[Frequency]]="Per day",Other11170758085909510010511011512012713213714214715215716255100[[#This Row],[Cost]]*30,Other11170758085909510010511011512012713213714214715215716255100[[#This Row],[Frequency]]="One-time",Other11170758085909510010511011512012713213714214715215716255100[[#This Row],[Cost]]/SUM($C$18,$C$19)))/$C$17),Other11170758085909510010511011512012713213714214715215716255100[[#This Row],[Unit]]="Per unit/space/household",(_xlfn.IFS(Other11170758085909510010511011512012713213714214715215716255100[[#This Row],[Frequency]]="Per Year",Other11170758085909510010511011512012713213714214715215716255100[[#This Row],[Cost]]/12,Other11170758085909510010511011512012713213714214715215716255100[[#This Row],[Frequency]]="Per month",Other11170758085909510010511011512012713213714214715215716255100[[#This Row],[Cost]],Other11170758085909510010511011512012713213714214715215716255100[[#This Row],[Frequency]]="Per day",Other11170758085909510010511011512012713213714214715215716255100[[#This Row],[Cost]]*30,Other11170758085909510010511011512012713213714214715215716255100[[#This Row],[Frequency]]="One-time",Other11170758085909510010511011512012713213714214715215716255100[[#This Row],[Cost]]/SUM($C$18,$C$19))))</f>
        <v>#N/A</v>
      </c>
      <c r="H121" s="46" t="e">
        <f>Other11170758085909510010511011512012713213714214715215716255100[[#This Row],[Monthly Cost Per Unit]]*12</f>
        <v>#N/A</v>
      </c>
      <c r="I121"/>
    </row>
    <row r="122" spans="1:9" x14ac:dyDescent="0.25">
      <c r="A122" s="107" t="s">
        <v>20</v>
      </c>
      <c r="B122" s="107"/>
      <c r="C122" s="108" t="s">
        <v>68</v>
      </c>
      <c r="D122" s="109"/>
      <c r="E122" s="108"/>
      <c r="F122" s="108"/>
      <c r="G122" s="118"/>
      <c r="H122" s="111">
        <f>(SUMIF(Other11170758085909510010511011512012713213714214715215716255100[Duration],"While homeless only",Other11170758085909510010511011512012713213714214715215716255100[Monthly Cost Per Unit]))*12</f>
        <v>0</v>
      </c>
    </row>
    <row r="123" spans="1:9" x14ac:dyDescent="0.25">
      <c r="A123" s="112"/>
      <c r="B123" s="112"/>
      <c r="C123" s="108" t="s">
        <v>63</v>
      </c>
      <c r="D123" s="109"/>
      <c r="E123" s="108"/>
      <c r="F123" s="108"/>
      <c r="G123" s="111"/>
      <c r="H123" s="111">
        <f>(SUMIF(Other11170758085909510010511011512012713213714214715215716255100[Duration],"While housed only",Other11170758085909510010511011512012713213714214715215716255100[Monthly Cost Per Unit]))*12</f>
        <v>0</v>
      </c>
    </row>
    <row r="124" spans="1:9" x14ac:dyDescent="0.25">
      <c r="A124" s="112"/>
      <c r="B124" s="112"/>
      <c r="C124" s="108" t="s">
        <v>58</v>
      </c>
      <c r="D124" s="109"/>
      <c r="E124" s="108"/>
      <c r="F124" s="108"/>
      <c r="G124" s="111"/>
      <c r="H124" s="111">
        <f>(SUMIF(Other11170758085909510010511011512012713213714214715215716255100[Duration],"Homeless &amp; housed",Other11170758085909510010511011512012713213714214715215716255100[Monthly Cost Per Unit]))*12</f>
        <v>0</v>
      </c>
    </row>
    <row r="125" spans="1:9" ht="15.75" thickBot="1" x14ac:dyDescent="0.3">
      <c r="A125" s="113"/>
      <c r="B125" s="113"/>
      <c r="C125" s="114" t="s">
        <v>207</v>
      </c>
      <c r="D125" s="115"/>
      <c r="E125" s="114"/>
      <c r="F125" s="114"/>
      <c r="G125" s="117"/>
      <c r="H125" s="117">
        <f>(SUMIF(Other11170758085909510010511011512012713213714214715215716255100[Duration],"N/A",Other11170758085909510010511011512012713213714214715215716255100[Monthly Cost Per Unit]))*12</f>
        <v>0</v>
      </c>
    </row>
    <row r="126" spans="1:9" ht="16.5" thickTop="1" thickBot="1" x14ac:dyDescent="0.3">
      <c r="A126" s="113"/>
      <c r="B126" s="113"/>
      <c r="C126" s="114" t="s">
        <v>42</v>
      </c>
      <c r="D126" s="115"/>
      <c r="E126" s="114"/>
      <c r="F126" s="114"/>
      <c r="G126" s="117"/>
      <c r="H126" s="117">
        <f>SUM(H122:H125)</f>
        <v>0</v>
      </c>
    </row>
    <row r="127" spans="1:9" ht="15.75" thickTop="1" x14ac:dyDescent="0.25"/>
    <row r="128" spans="1:9" x14ac:dyDescent="0.25">
      <c r="A128" s="269" t="s">
        <v>92</v>
      </c>
      <c r="B128" s="269"/>
      <c r="C128" s="269"/>
      <c r="D128" s="269"/>
      <c r="E128" s="269"/>
      <c r="F128" s="269"/>
      <c r="G128" s="269"/>
      <c r="H128" s="269"/>
    </row>
    <row r="129" spans="1:8" x14ac:dyDescent="0.25">
      <c r="A129" s="304" t="s">
        <v>20</v>
      </c>
      <c r="B129" s="147"/>
      <c r="C129" s="108" t="s">
        <v>68</v>
      </c>
      <c r="D129" s="109"/>
      <c r="E129" s="108"/>
      <c r="F129" s="108"/>
      <c r="G129" s="118"/>
      <c r="H129" s="111">
        <f>SUM(H32,H53,H86, H108,H122)</f>
        <v>0</v>
      </c>
    </row>
    <row r="130" spans="1:8" x14ac:dyDescent="0.25">
      <c r="A130" s="305"/>
      <c r="B130" s="148"/>
      <c r="C130" s="108" t="s">
        <v>63</v>
      </c>
      <c r="D130" s="109"/>
      <c r="E130" s="108"/>
      <c r="F130" s="108"/>
      <c r="G130" s="111"/>
      <c r="H130" s="111">
        <f>SUM(H33,H54,H87, H109,H123)</f>
        <v>0</v>
      </c>
    </row>
    <row r="131" spans="1:8" x14ac:dyDescent="0.25">
      <c r="A131" s="305"/>
      <c r="B131" s="148"/>
      <c r="C131" s="108" t="s">
        <v>58</v>
      </c>
      <c r="D131" s="109"/>
      <c r="E131" s="108"/>
      <c r="F131" s="108"/>
      <c r="G131" s="111"/>
      <c r="H131" s="111">
        <f>SUM(H34,H55,H88, H110,H124)</f>
        <v>0</v>
      </c>
    </row>
    <row r="132" spans="1:8" ht="15.75" thickBot="1" x14ac:dyDescent="0.3">
      <c r="A132" s="305"/>
      <c r="B132" s="148"/>
      <c r="C132" s="114" t="s">
        <v>207</v>
      </c>
      <c r="D132" s="115"/>
      <c r="E132" s="114"/>
      <c r="F132" s="114"/>
      <c r="G132" s="117"/>
      <c r="H132" s="149">
        <f>SUM(H35,H56,H89, H111,H125)</f>
        <v>0</v>
      </c>
    </row>
    <row r="133" spans="1:8" ht="16.5" thickTop="1" thickBot="1" x14ac:dyDescent="0.3">
      <c r="A133" s="306"/>
      <c r="B133" s="150"/>
      <c r="C133" s="130" t="s">
        <v>42</v>
      </c>
      <c r="D133" s="130"/>
      <c r="E133" s="130"/>
      <c r="F133" s="130"/>
      <c r="G133" s="151"/>
      <c r="H133" s="117">
        <f>SUM(H36,H57,H90, H112,H126)</f>
        <v>0</v>
      </c>
    </row>
    <row r="134" spans="1:8" ht="15.75" thickTop="1" x14ac:dyDescent="0.25"/>
  </sheetData>
  <sheetProtection sheet="1" formatCells="0" formatColumns="0" formatRows="0" insertRows="0"/>
  <mergeCells count="41">
    <mergeCell ref="A10:B10"/>
    <mergeCell ref="A4:D4"/>
    <mergeCell ref="A5:B5"/>
    <mergeCell ref="C5:D5"/>
    <mergeCell ref="C11:D11"/>
    <mergeCell ref="A11:B11"/>
    <mergeCell ref="C10:D10"/>
    <mergeCell ref="A24:H24"/>
    <mergeCell ref="A38:H38"/>
    <mergeCell ref="A59:H59"/>
    <mergeCell ref="A17:B17"/>
    <mergeCell ref="C17:D17"/>
    <mergeCell ref="C18:D18"/>
    <mergeCell ref="A18:B18"/>
    <mergeCell ref="A60:H60"/>
    <mergeCell ref="A25:H25"/>
    <mergeCell ref="A39:H39"/>
    <mergeCell ref="A2:H2"/>
    <mergeCell ref="A19:B19"/>
    <mergeCell ref="C19:D19"/>
    <mergeCell ref="A22:H22"/>
    <mergeCell ref="C12:D12"/>
    <mergeCell ref="A15:D15"/>
    <mergeCell ref="A16:D16"/>
    <mergeCell ref="C13:D13"/>
    <mergeCell ref="A12:B12"/>
    <mergeCell ref="A13:B13"/>
    <mergeCell ref="F9:G9"/>
    <mergeCell ref="A7:D7"/>
    <mergeCell ref="A9:D9"/>
    <mergeCell ref="A61:F61"/>
    <mergeCell ref="A62:F62"/>
    <mergeCell ref="A74:F74"/>
    <mergeCell ref="G74:H74"/>
    <mergeCell ref="A75:H75"/>
    <mergeCell ref="A129:A133"/>
    <mergeCell ref="A92:H92"/>
    <mergeCell ref="A114:H114"/>
    <mergeCell ref="A128:H128"/>
    <mergeCell ref="A93:H93"/>
    <mergeCell ref="A115:H115"/>
  </mergeCells>
  <dataValidations count="12">
    <dataValidation allowBlank="1" showInputMessage="1" showErrorMessage="1" prompt="Project capacity is the number of units available at a point in time. Depending on the project type, a unit may represent a rental subsidy, a room or bed in a congregate setting, a motel room, a supportive services slot, etc." sqref="A17:B17" xr:uid="{E122D59C-F507-466B-A7C0-A605A27A6D4C}"/>
    <dataValidation allowBlank="1" showInputMessage="1" showErrorMessage="1" prompt="This would be the amount of time a client is enrolled in the program before they have a housing move-in date in HMIS." sqref="A18:B18" xr:uid="{68647FE3-8B4B-46B3-8A14-11644E92984D}"/>
    <dataValidation allowBlank="1" showInputMessage="1" showErrorMessage="1" prompt="This would be the amount of time a client is enrolled in the program after they have a housing move-in date in HMIS." sqref="A19:B20 D20" xr:uid="{C6CA845C-1546-457C-8639-83988E25DA3C}"/>
    <dataValidation allowBlank="1" showInputMessage="1" showErrorMessage="1" prompt="This column is auto-calculated based on the average rental cost and average utility cost per unit information." sqref="F63:F72" xr:uid="{FCA48B8B-2877-4A15-863F-320CAE2B0E9C}"/>
    <dataValidation allowBlank="1" showInputMessage="1" showErrorMessage="1" prompt="This field required a selection from a drop-down menu. To find this menu, click on the cell and click the down arrow on the right-hand of the cell. " sqref="C26 C40 C76 C94 C116" xr:uid="{97031E5F-D2D6-4E47-BF19-5A0BECA1D61A}"/>
    <dataValidation allowBlank="1" showInputMessage="1" showErrorMessage="1" prompt="This field required a selection from a drop-down menu. To find this menu, click on the cell and click the down arrow on the right-hand of the cell." sqref="E26:F26 E40:F40 E76:F76 E94:F94 E116:F116" xr:uid="{CC861A0E-EF20-41B5-8429-865AB5C77668}"/>
    <dataValidation allowBlank="1" showInputMessage="1" showErrorMessage="1" prompt="_x000a_" sqref="G13" xr:uid="{E6859724-9B1D-4FC0-B8E9-8760B88BB5FF}"/>
    <dataValidation type="custom" allowBlank="1" showInputMessage="1" showErrorMessage="1" sqref="D27:D31 D41:D52 D77:D85 D95:D107 D117:D121 B64:E71" xr:uid="{7FD3E185-0391-4A2A-9446-C3D637B62708}">
      <formula1>ISNUMBER(VALUE(B27))</formula1>
    </dataValidation>
    <dataValidation type="custom" allowBlank="1" showInputMessage="1" showErrorMessage="1" prompt="Project capacity is the number of units available at a point in time. Depending on the project type, a unit may represent a rental subsidy, a room or bed in a congregate setting, a motel room, a supportive services slot, etc." sqref="C17:D17" xr:uid="{CB75B091-7114-44FC-A5EC-540DB2CA07EF}">
      <formula1>ISNUMBER(VALUE(C17))</formula1>
    </dataValidation>
    <dataValidation type="custom" allowBlank="1" showInputMessage="1" showErrorMessage="1" prompt="This would be the amount of time a client is enrolled in the program before they have a housing move-in date in HMIS." sqref="C18:D18" xr:uid="{1037ABCD-1B3F-4E62-A789-96B7A2EE3D3C}">
      <formula1>ISNUMBER(VALUE(C18))</formula1>
    </dataValidation>
    <dataValidation type="custom" allowBlank="1" showInputMessage="1" showErrorMessage="1" prompt="This would be the amount of time a client is enrolled in the program after they have a housing move-in date in HMIS." sqref="C19:D19" xr:uid="{9E40A772-4A76-466C-8510-C4F1926AFD9B}">
      <formula1>ISNUMBER(VALUE(C19))</formula1>
    </dataValidation>
    <dataValidation allowBlank="1" showErrorMessage="1" sqref="C20 F14:G14" xr:uid="{F0EAC4A4-236E-43BF-BDA1-BF9AEA76F915}"/>
  </dataValidations>
  <pageMargins left="0.7" right="0.7" top="0.75" bottom="0.75" header="0.3" footer="0.3"/>
  <pageSetup orientation="portrait" horizontalDpi="90" verticalDpi="90" r:id="rId1"/>
  <tableParts count="5">
    <tablePart r:id="rId2"/>
    <tablePart r:id="rId3"/>
    <tablePart r:id="rId4"/>
    <tablePart r:id="rId5"/>
    <tablePart r:id="rId6"/>
  </tableParts>
  <extLst>
    <ext xmlns:x14="http://schemas.microsoft.com/office/spreadsheetml/2009/9/main" uri="{CCE6A557-97BC-4b89-ADB6-D9C93CAAB3DF}">
      <x14:dataValidations xmlns:xm="http://schemas.microsoft.com/office/excel/2006/main" count="9">
        <x14:dataValidation type="list" allowBlank="1" showInputMessage="1" showErrorMessage="1" prompt="This field required a selection from a drop-down menu. To find this menu, click on the cell and click the down arrow on the right-hand of the cell. " xr:uid="{0A772FC5-D3CA-4C9C-9BAB-13C8BAE4BDB2}">
          <x14:formula1>
            <xm:f>Allowable!$E$2:$E$4</xm:f>
          </x14:formula1>
          <xm:sqref>C117:C121 C95:C107 C77:C85</xm:sqref>
        </x14:dataValidation>
        <x14:dataValidation type="list" allowBlank="1" showInputMessage="1" showErrorMessage="1" xr:uid="{1F1711CB-D9C4-4C9F-B1C7-570DC2CDD532}">
          <x14:formula1>
            <xm:f>Allowable!$B$2:$B$3</xm:f>
          </x14:formula1>
          <xm:sqref>F58</xm:sqref>
        </x14:dataValidation>
        <x14:dataValidation type="list" allowBlank="1" showInputMessage="1" showErrorMessage="1" xr:uid="{BFF12B0D-60B8-42CC-98DD-28372DF9BA56}">
          <x14:formula1>
            <xm:f>Allowable!$A$2:$A$5</xm:f>
          </x14:formula1>
          <xm:sqref>E58</xm:sqref>
        </x14:dataValidation>
        <x14:dataValidation type="list" allowBlank="1" showInputMessage="1" showErrorMessage="1" prompt="This field required a selection from a drop-down menu. To find this menu, click on the cell and click the down arrow on the right-hand of the cell." xr:uid="{3B92D93F-7036-4238-8B0F-15FB695E46E6}">
          <x14:formula1>
            <xm:f>Allowable!$A$2:$A$5</xm:f>
          </x14:formula1>
          <xm:sqref>E27:E31 E41:E52</xm:sqref>
        </x14:dataValidation>
        <x14:dataValidation type="list" allowBlank="1" showInputMessage="1" showErrorMessage="1" prompt="This field required a selection from a drop-down menu. To find this menu, click on the cell and click the down arrow on the right-hand of the cell. " xr:uid="{5E930A43-3332-4499-B56B-EB23CB4405A8}">
          <x14:formula1>
            <xm:f>Allowable!$A$2:$A$5</xm:f>
          </x14:formula1>
          <xm:sqref>E41:E52 E77:E85 E95:E107 E117:E121</xm:sqref>
        </x14:dataValidation>
        <x14:dataValidation type="list" allowBlank="1" showInputMessage="1" showErrorMessage="1" prompt="This field required a selection from a drop-down menu. To find this menu, click on the cell and click the down arrow on the right-hand of the cell. " xr:uid="{EFE9BB00-C3A2-4797-9A75-FB7077A16ECF}">
          <x14:formula1>
            <xm:f>Allowable!$B$2:$B$3</xm:f>
          </x14:formula1>
          <xm:sqref>F41:F52 F77:F85 F95:F107 F117:F121</xm:sqref>
        </x14:dataValidation>
        <x14:dataValidation type="list" allowBlank="1" showInputMessage="1" showErrorMessage="1" xr:uid="{56D4D60F-F7BC-4795-8F00-03F291A42D8C}">
          <x14:formula1>
            <xm:f>Allowable!$D$2:$D$13</xm:f>
          </x14:formula1>
          <xm:sqref>C11:D11</xm:sqref>
        </x14:dataValidation>
        <x14:dataValidation type="list" allowBlank="1" showInputMessage="1" showErrorMessage="1" prompt="This field required a selection from a drop-down menu. To find this menu, click on the cell and click the down arrow on the right-hand of the cell." xr:uid="{9168A410-BFA5-4794-BD9E-6211A9F23F69}">
          <x14:formula1>
            <xm:f>Allowable!$B$2:$B$3</xm:f>
          </x14:formula1>
          <xm:sqref>F27:F31</xm:sqref>
        </x14:dataValidation>
        <x14:dataValidation type="list" allowBlank="1" showInputMessage="1" showErrorMessage="1" prompt="This field required a selection from a drop-down menu. To find this menu, click on the cell and click the down arrow on the right-hand of the cell. " xr:uid="{F3447835-B2A8-4293-AA55-946C9B4E694E}">
          <x14:formula1>
            <xm:f>Allowable!$E$2:$E$5</xm:f>
          </x14:formula1>
          <xm:sqref>C27:C31 C41:C52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97C4B-64B5-41D0-9468-995D9F5F762B}">
  <sheetPr>
    <tabColor theme="8" tint="0.79998168889431442"/>
  </sheetPr>
  <dimension ref="A2:I134"/>
  <sheetViews>
    <sheetView showGridLines="0" zoomScaleNormal="100" workbookViewId="0">
      <selection activeCell="F18" sqref="F18"/>
    </sheetView>
  </sheetViews>
  <sheetFormatPr defaultColWidth="8.7109375" defaultRowHeight="15" outlineLevelRow="1" x14ac:dyDescent="0.25"/>
  <cols>
    <col min="1" max="1" width="27.140625" style="3" customWidth="1"/>
    <col min="2" max="2" width="21.140625" customWidth="1"/>
    <col min="3" max="3" width="18.5703125" customWidth="1"/>
    <col min="4" max="5" width="14.42578125" customWidth="1"/>
    <col min="6" max="6" width="22.85546875" style="128" customWidth="1"/>
    <col min="7" max="7" width="13.5703125" style="128" customWidth="1"/>
    <col min="8" max="8" width="13.140625" customWidth="1"/>
    <col min="9" max="9" width="10.5703125" customWidth="1"/>
    <col min="10" max="10" width="10.42578125" customWidth="1"/>
    <col min="11" max="11" width="22.5703125" customWidth="1"/>
    <col min="12" max="12" width="14.85546875" customWidth="1"/>
  </cols>
  <sheetData>
    <row r="2" spans="1:8" ht="26.25" x14ac:dyDescent="0.4">
      <c r="A2" s="288" t="str">
        <f>CONCATENATE("Comparable Projects for ", 'Model Project Type'!D10, " Cost Assumptions")</f>
        <v>Comparable Projects for  Cost Assumptions</v>
      </c>
      <c r="B2" s="288"/>
      <c r="C2" s="288"/>
      <c r="D2" s="288"/>
      <c r="E2" s="288"/>
      <c r="F2" s="288"/>
      <c r="G2" s="288"/>
      <c r="H2" s="288"/>
    </row>
    <row r="3" spans="1:8" ht="19.5" customHeight="1" x14ac:dyDescent="0.25"/>
    <row r="4" spans="1:8" ht="26.1" customHeight="1" x14ac:dyDescent="0.4">
      <c r="A4" s="273" t="s">
        <v>1</v>
      </c>
      <c r="B4" s="273"/>
      <c r="C4" s="273"/>
      <c r="D4" s="273"/>
    </row>
    <row r="5" spans="1:8" ht="30.6" customHeight="1" x14ac:dyDescent="0.25">
      <c r="A5" s="292" t="s">
        <v>109</v>
      </c>
      <c r="B5" s="292"/>
      <c r="C5" s="293" t="str">
        <f>IF('Model Project Type'!D10 = 0, " ", 'Model Project Type'!D10)</f>
        <v xml:space="preserve"> </v>
      </c>
      <c r="D5" s="293"/>
    </row>
    <row r="6" spans="1:8" ht="20.100000000000001" customHeight="1" x14ac:dyDescent="0.25">
      <c r="A6"/>
      <c r="F6"/>
      <c r="G6"/>
    </row>
    <row r="7" spans="1:8" ht="26.1" customHeight="1" x14ac:dyDescent="0.4">
      <c r="A7" s="273" t="s">
        <v>35</v>
      </c>
      <c r="B7" s="273"/>
      <c r="C7" s="273"/>
      <c r="D7" s="273"/>
    </row>
    <row r="8" spans="1:8" ht="5.45" customHeight="1" x14ac:dyDescent="0.4">
      <c r="A8" s="36"/>
      <c r="B8" s="36"/>
      <c r="C8" s="36"/>
      <c r="D8" s="36"/>
      <c r="F8" s="129"/>
      <c r="G8" s="129"/>
    </row>
    <row r="9" spans="1:8" ht="20.100000000000001" customHeight="1" x14ac:dyDescent="0.25">
      <c r="A9" s="289" t="s">
        <v>36</v>
      </c>
      <c r="B9" s="289"/>
      <c r="C9" s="289"/>
      <c r="D9" s="289"/>
      <c r="F9" s="308" t="s">
        <v>37</v>
      </c>
      <c r="G9" s="308"/>
    </row>
    <row r="10" spans="1:8" ht="19.7" customHeight="1" x14ac:dyDescent="0.25">
      <c r="A10" s="290" t="s">
        <v>38</v>
      </c>
      <c r="B10" s="290"/>
      <c r="C10" s="311"/>
      <c r="D10" s="311"/>
      <c r="F10" s="108" t="s">
        <v>68</v>
      </c>
      <c r="G10" s="111">
        <f>H129</f>
        <v>0</v>
      </c>
    </row>
    <row r="11" spans="1:8" ht="19.7" customHeight="1" x14ac:dyDescent="0.25">
      <c r="A11" s="286" t="s">
        <v>39</v>
      </c>
      <c r="B11" s="286"/>
      <c r="C11" s="310"/>
      <c r="D11" s="310"/>
      <c r="F11" s="108" t="s">
        <v>63</v>
      </c>
      <c r="G11" s="111">
        <f>H130</f>
        <v>0</v>
      </c>
    </row>
    <row r="12" spans="1:8" ht="19.7" customHeight="1" x14ac:dyDescent="0.25">
      <c r="A12" s="287" t="s">
        <v>40</v>
      </c>
      <c r="B12" s="287"/>
      <c r="C12" s="307"/>
      <c r="D12" s="307"/>
      <c r="F12" s="108" t="s">
        <v>58</v>
      </c>
      <c r="G12" s="111">
        <f>H131</f>
        <v>0</v>
      </c>
    </row>
    <row r="13" spans="1:8" ht="19.7" customHeight="1" thickBot="1" x14ac:dyDescent="0.3">
      <c r="A13" s="286" t="s">
        <v>41</v>
      </c>
      <c r="B13" s="286"/>
      <c r="C13" s="307"/>
      <c r="D13" s="307"/>
      <c r="F13" s="114" t="s">
        <v>207</v>
      </c>
      <c r="G13" s="117">
        <f>H132</f>
        <v>0</v>
      </c>
    </row>
    <row r="14" spans="1:8" ht="19.7" customHeight="1" thickTop="1" thickBot="1" x14ac:dyDescent="0.3">
      <c r="A14" s="7"/>
      <c r="B14" s="40"/>
      <c r="C14" s="35"/>
      <c r="D14" s="34"/>
      <c r="F14" s="130" t="s">
        <v>42</v>
      </c>
      <c r="G14" s="117">
        <f>H133</f>
        <v>0</v>
      </c>
    </row>
    <row r="15" spans="1:8" ht="19.7" customHeight="1" thickTop="1" x14ac:dyDescent="0.25">
      <c r="A15" s="280" t="s">
        <v>43</v>
      </c>
      <c r="B15" s="280"/>
      <c r="C15" s="280"/>
      <c r="D15" s="280"/>
    </row>
    <row r="16" spans="1:8" ht="44.45" customHeight="1" x14ac:dyDescent="0.25">
      <c r="A16" s="281" t="s">
        <v>44</v>
      </c>
      <c r="B16" s="282"/>
      <c r="C16" s="282"/>
      <c r="D16" s="282"/>
    </row>
    <row r="17" spans="1:9" ht="18.600000000000001" customHeight="1" x14ac:dyDescent="0.25">
      <c r="A17" s="283" t="s">
        <v>45</v>
      </c>
      <c r="B17" s="283"/>
      <c r="C17" s="309"/>
      <c r="D17" s="309"/>
    </row>
    <row r="18" spans="1:9" ht="44.45" customHeight="1" x14ac:dyDescent="0.25">
      <c r="A18" s="275" t="s">
        <v>46</v>
      </c>
      <c r="B18" s="275"/>
      <c r="C18" s="310"/>
      <c r="D18" s="310"/>
    </row>
    <row r="19" spans="1:9" ht="44.45" customHeight="1" x14ac:dyDescent="0.25">
      <c r="A19" s="275" t="s">
        <v>47</v>
      </c>
      <c r="B19" s="275"/>
      <c r="C19" s="307"/>
      <c r="D19" s="307"/>
    </row>
    <row r="20" spans="1:9" ht="14.1" customHeight="1" x14ac:dyDescent="0.25">
      <c r="A20" s="33"/>
      <c r="B20" s="33"/>
      <c r="C20" s="39"/>
      <c r="D20" s="35"/>
    </row>
    <row r="21" spans="1:9" ht="17.45" customHeight="1" x14ac:dyDescent="0.25">
      <c r="A21" s="4"/>
      <c r="B21" s="4"/>
      <c r="C21" s="35"/>
      <c r="D21" s="35"/>
    </row>
    <row r="22" spans="1:9" ht="21" customHeight="1" x14ac:dyDescent="0.4">
      <c r="A22" s="277" t="s">
        <v>48</v>
      </c>
      <c r="B22" s="277"/>
      <c r="C22" s="277"/>
      <c r="D22" s="277"/>
      <c r="E22" s="277"/>
      <c r="F22" s="277"/>
      <c r="G22" s="277"/>
      <c r="H22" s="277"/>
    </row>
    <row r="23" spans="1:9" ht="6.6" customHeight="1" x14ac:dyDescent="0.25">
      <c r="A23" s="32"/>
      <c r="B23" s="30"/>
      <c r="C23" s="30"/>
      <c r="D23" s="30"/>
      <c r="F23" s="129"/>
      <c r="G23" s="129"/>
    </row>
    <row r="24" spans="1:9" x14ac:dyDescent="0.25">
      <c r="A24" s="274" t="s">
        <v>49</v>
      </c>
      <c r="B24" s="274"/>
      <c r="C24" s="274"/>
      <c r="D24" s="274"/>
      <c r="E24" s="274"/>
      <c r="F24" s="274"/>
      <c r="G24" s="274"/>
      <c r="H24" s="274"/>
    </row>
    <row r="25" spans="1:9" ht="30.75" customHeight="1" outlineLevel="1" x14ac:dyDescent="0.25">
      <c r="A25" s="294" t="s">
        <v>50</v>
      </c>
      <c r="B25" s="294"/>
      <c r="C25" s="294"/>
      <c r="D25" s="294"/>
      <c r="E25" s="294"/>
      <c r="F25" s="294"/>
      <c r="G25" s="294"/>
      <c r="H25" s="294"/>
    </row>
    <row r="26" spans="1:9" s="3" customFormat="1" ht="28.35" customHeight="1" x14ac:dyDescent="0.25">
      <c r="A26" s="131" t="s">
        <v>51</v>
      </c>
      <c r="B26" s="131" t="s">
        <v>52</v>
      </c>
      <c r="C26" s="131" t="s">
        <v>53</v>
      </c>
      <c r="D26" s="131" t="s">
        <v>54</v>
      </c>
      <c r="E26" s="131" t="s">
        <v>55</v>
      </c>
      <c r="F26" s="131" t="s">
        <v>56</v>
      </c>
      <c r="G26" s="131" t="s">
        <v>57</v>
      </c>
      <c r="H26" s="132" t="s">
        <v>20</v>
      </c>
    </row>
    <row r="27" spans="1:9" x14ac:dyDescent="0.25">
      <c r="A27" s="75"/>
      <c r="B27" s="76"/>
      <c r="C27" s="77"/>
      <c r="D27" s="78"/>
      <c r="E27" s="79"/>
      <c r="F27" s="79"/>
      <c r="G27" s="53" t="e" cm="1">
        <f t="array" ref="G27">_xlfn.IFS(Administrative1766717681869196101106111116123128133138143148153158519621[[#This Row],[Unit]]="Program-wide",((_xlfn.IFS(Administrative1766717681869196101106111116123128133138143148153158519621[[#This Row],[Frequency]]="Per Year",Administrative1766717681869196101106111116123128133138143148153158519621[[#This Row],[Cost]]/12,Administrative1766717681869196101106111116123128133138143148153158519621[[#This Row],[Frequency]]="Per month",Administrative1766717681869196101106111116123128133138143148153158519621[[#This Row],[Cost]],Administrative1766717681869196101106111116123128133138143148153158519621[[#This Row],[Frequency]]="Per day",Administrative1766717681869196101106111116123128133138143148153158519621[[#This Row],[Cost]]*30,Administrative1766717681869196101106111116123128133138143148153158519621[[#This Row],[Frequency]]="One-time",Administrative1766717681869196101106111116123128133138143148153158519621[[#This Row],[Cost]]/SUM(C18,C19)))/$C$17),Administrative1766717681869196101106111116123128133138143148153158519621[[#This Row],[Unit]]="Per unit/space/household",(_xlfn.IFS(Administrative1766717681869196101106111116123128133138143148153158519621[[#This Row],[Frequency]]="Per Year",Administrative1766717681869196101106111116123128133138143148153158519621[[#This Row],[Cost]]/12,Administrative1766717681869196101106111116123128133138143148153158519621[[#This Row],[Frequency]]="Per month",Administrative1766717681869196101106111116123128133138143148153158519621[[#This Row],[Cost]],Administrative1766717681869196101106111116123128133138143148153158519621[[#This Row],[Frequency]]="Per day",Administrative1766717681869196101106111116123128133138143148153158519621[[#This Row],[Cost]]*30,Administrative1766717681869196101106111116123128133138143148153158519621[[#This Row],[Frequency]]="One-time",Administrative1766717681869196101106111116123128133138143148153158519621[[#This Row],[Cost]]/SUM($C$18,$C$19))))</f>
        <v>#N/A</v>
      </c>
      <c r="H27" s="46" t="e">
        <f>Administrative1766717681869196101106111116123128133138143148153158519621[[#This Row],[Monthly Cost Per Unit]]*12</f>
        <v>#N/A</v>
      </c>
    </row>
    <row r="28" spans="1:9" x14ac:dyDescent="0.25">
      <c r="A28" s="75"/>
      <c r="B28" s="76"/>
      <c r="C28" s="77"/>
      <c r="D28" s="78"/>
      <c r="E28" s="79"/>
      <c r="F28" s="79"/>
      <c r="G28" s="53" t="e" cm="1">
        <f t="array" ref="G28">_xlfn.IFS(Administrative1766717681869196101106111116123128133138143148153158519621[[#This Row],[Unit]]="Program-wide",((_xlfn.IFS(Administrative1766717681869196101106111116123128133138143148153158519621[[#This Row],[Frequency]]="Per Year",Administrative1766717681869196101106111116123128133138143148153158519621[[#This Row],[Cost]]/12,Administrative1766717681869196101106111116123128133138143148153158519621[[#This Row],[Frequency]]="Per month",Administrative1766717681869196101106111116123128133138143148153158519621[[#This Row],[Cost]],Administrative1766717681869196101106111116123128133138143148153158519621[[#This Row],[Frequency]]="Per day",Administrative1766717681869196101106111116123128133138143148153158519621[[#This Row],[Cost]]*30,Administrative1766717681869196101106111116123128133138143148153158519621[[#This Row],[Frequency]]="One-time",Administrative1766717681869196101106111116123128133138143148153158519621[[#This Row],[Cost]]/SUM(C18,C19)))/$C$17),Administrative1766717681869196101106111116123128133138143148153158519621[[#This Row],[Unit]]="Per unit/space/household",(_xlfn.IFS(Administrative1766717681869196101106111116123128133138143148153158519621[[#This Row],[Frequency]]="Per Year",Administrative1766717681869196101106111116123128133138143148153158519621[[#This Row],[Cost]]/12,Administrative1766717681869196101106111116123128133138143148153158519621[[#This Row],[Frequency]]="Per month",Administrative1766717681869196101106111116123128133138143148153158519621[[#This Row],[Cost]],Administrative1766717681869196101106111116123128133138143148153158519621[[#This Row],[Frequency]]="Per day",Administrative1766717681869196101106111116123128133138143148153158519621[[#This Row],[Cost]]*30,Administrative1766717681869196101106111116123128133138143148153158519621[[#This Row],[Frequency]]="One-time",Administrative1766717681869196101106111116123128133138143148153158519621[[#This Row],[Cost]]/SUM($C$18,$C$19))))</f>
        <v>#N/A</v>
      </c>
      <c r="H28" s="46" t="e">
        <f>Administrative1766717681869196101106111116123128133138143148153158519621[[#This Row],[Monthly Cost Per Unit]]*12</f>
        <v>#N/A</v>
      </c>
    </row>
    <row r="29" spans="1:9" x14ac:dyDescent="0.25">
      <c r="A29" s="75"/>
      <c r="B29" s="76"/>
      <c r="C29" s="77"/>
      <c r="D29" s="78"/>
      <c r="E29" s="79"/>
      <c r="F29" s="79"/>
      <c r="G29" s="53" t="e" cm="1">
        <f t="array" ref="G29">_xlfn.IFS(Administrative1766717681869196101106111116123128133138143148153158519621[[#This Row],[Unit]]="Program-wide",((_xlfn.IFS(Administrative1766717681869196101106111116123128133138143148153158519621[[#This Row],[Frequency]]="Per Year",Administrative1766717681869196101106111116123128133138143148153158519621[[#This Row],[Cost]]/12,Administrative1766717681869196101106111116123128133138143148153158519621[[#This Row],[Frequency]]="Per month",Administrative1766717681869196101106111116123128133138143148153158519621[[#This Row],[Cost]],Administrative1766717681869196101106111116123128133138143148153158519621[[#This Row],[Frequency]]="Per day",Administrative1766717681869196101106111116123128133138143148153158519621[[#This Row],[Cost]]*30,Administrative1766717681869196101106111116123128133138143148153158519621[[#This Row],[Frequency]]="One-time",Administrative1766717681869196101106111116123128133138143148153158519621[[#This Row],[Cost]]/SUM(C18,C19)))/$C$17),Administrative1766717681869196101106111116123128133138143148153158519621[[#This Row],[Unit]]="Per unit/space/household",(_xlfn.IFS(Administrative1766717681869196101106111116123128133138143148153158519621[[#This Row],[Frequency]]="Per Year",Administrative1766717681869196101106111116123128133138143148153158519621[[#This Row],[Cost]]/12,Administrative1766717681869196101106111116123128133138143148153158519621[[#This Row],[Frequency]]="Per month",Administrative1766717681869196101106111116123128133138143148153158519621[[#This Row],[Cost]],Administrative1766717681869196101106111116123128133138143148153158519621[[#This Row],[Frequency]]="Per day",Administrative1766717681869196101106111116123128133138143148153158519621[[#This Row],[Cost]]*30,Administrative1766717681869196101106111116123128133138143148153158519621[[#This Row],[Frequency]]="One-time",Administrative1766717681869196101106111116123128133138143148153158519621[[#This Row],[Cost]]/SUM($C$18,$C$19))))</f>
        <v>#N/A</v>
      </c>
      <c r="H29" s="46" t="e">
        <f>Administrative1766717681869196101106111116123128133138143148153158519621[[#This Row],[Monthly Cost Per Unit]]*12</f>
        <v>#N/A</v>
      </c>
    </row>
    <row r="30" spans="1:9" x14ac:dyDescent="0.25">
      <c r="A30" s="75"/>
      <c r="B30" s="76"/>
      <c r="C30" s="77"/>
      <c r="D30" s="78"/>
      <c r="E30" s="79"/>
      <c r="F30" s="79"/>
      <c r="G30" s="53" t="e" cm="1">
        <f t="array" ref="G30">_xlfn.IFS(Administrative1766717681869196101106111116123128133138143148153158519621[[#This Row],[Unit]]="Program-wide",((_xlfn.IFS(Administrative1766717681869196101106111116123128133138143148153158519621[[#This Row],[Frequency]]="Per Year",Administrative1766717681869196101106111116123128133138143148153158519621[[#This Row],[Cost]]/12,Administrative1766717681869196101106111116123128133138143148153158519621[[#This Row],[Frequency]]="Per month",Administrative1766717681869196101106111116123128133138143148153158519621[[#This Row],[Cost]],Administrative1766717681869196101106111116123128133138143148153158519621[[#This Row],[Frequency]]="Per day",Administrative1766717681869196101106111116123128133138143148153158519621[[#This Row],[Cost]]*30,Administrative1766717681869196101106111116123128133138143148153158519621[[#This Row],[Frequency]]="One-time",Administrative1766717681869196101106111116123128133138143148153158519621[[#This Row],[Cost]]/SUM(C18,C19)))/$C$17),Administrative1766717681869196101106111116123128133138143148153158519621[[#This Row],[Unit]]="Per unit/space/household",(_xlfn.IFS(Administrative1766717681869196101106111116123128133138143148153158519621[[#This Row],[Frequency]]="Per Year",Administrative1766717681869196101106111116123128133138143148153158519621[[#This Row],[Cost]]/12,Administrative1766717681869196101106111116123128133138143148153158519621[[#This Row],[Frequency]]="Per month",Administrative1766717681869196101106111116123128133138143148153158519621[[#This Row],[Cost]],Administrative1766717681869196101106111116123128133138143148153158519621[[#This Row],[Frequency]]="Per day",Administrative1766717681869196101106111116123128133138143148153158519621[[#This Row],[Cost]]*30,Administrative1766717681869196101106111116123128133138143148153158519621[[#This Row],[Frequency]]="One-time",Administrative1766717681869196101106111116123128133138143148153158519621[[#This Row],[Cost]]/SUM($C$18,$C$19))))</f>
        <v>#N/A</v>
      </c>
      <c r="H30" s="46" t="e">
        <f>Administrative1766717681869196101106111116123128133138143148153158519621[[#This Row],[Monthly Cost Per Unit]]*12</f>
        <v>#N/A</v>
      </c>
    </row>
    <row r="31" spans="1:9" s="1" customFormat="1" x14ac:dyDescent="0.25">
      <c r="A31" s="80"/>
      <c r="B31" s="81"/>
      <c r="C31" s="82"/>
      <c r="D31" s="83"/>
      <c r="E31" s="84"/>
      <c r="F31" s="84"/>
      <c r="G31" s="54" t="e" cm="1">
        <f t="array" ref="G31">_xlfn.IFS(Administrative1766717681869196101106111116123128133138143148153158519621[[#This Row],[Unit]]="Program-wide",((_xlfn.IFS(Administrative1766717681869196101106111116123128133138143148153158519621[[#This Row],[Frequency]]="Per Year",Administrative1766717681869196101106111116123128133138143148153158519621[[#This Row],[Cost]]/12,Administrative1766717681869196101106111116123128133138143148153158519621[[#This Row],[Frequency]]="Per month",Administrative1766717681869196101106111116123128133138143148153158519621[[#This Row],[Cost]],Administrative1766717681869196101106111116123128133138143148153158519621[[#This Row],[Frequency]]="Per day",Administrative1766717681869196101106111116123128133138143148153158519621[[#This Row],[Cost]]*30,Administrative1766717681869196101106111116123128133138143148153158519621[[#This Row],[Frequency]]="One-time",Administrative1766717681869196101106111116123128133138143148153158519621[[#This Row],[Cost]]/SUM(C18,C19)))/$C$17),Administrative1766717681869196101106111116123128133138143148153158519621[[#This Row],[Unit]]="Per unit/space/household",(_xlfn.IFS(Administrative1766717681869196101106111116123128133138143148153158519621[[#This Row],[Frequency]]="Per Year",Administrative1766717681869196101106111116123128133138143148153158519621[[#This Row],[Cost]]/12,Administrative1766717681869196101106111116123128133138143148153158519621[[#This Row],[Frequency]]="Per month",Administrative1766717681869196101106111116123128133138143148153158519621[[#This Row],[Cost]],Administrative1766717681869196101106111116123128133138143148153158519621[[#This Row],[Frequency]]="Per day",Administrative1766717681869196101106111116123128133138143148153158519621[[#This Row],[Cost]]*30,Administrative1766717681869196101106111116123128133138143148153158519621[[#This Row],[Frequency]]="One-time",Administrative1766717681869196101106111116123128133138143148153158519621[[#This Row],[Cost]]/SUM($C$18,$C$19))))</f>
        <v>#N/A</v>
      </c>
      <c r="H31" s="46" t="e">
        <f>Administrative1766717681869196101106111116123128133138143148153158519621[[#This Row],[Monthly Cost Per Unit]]*12</f>
        <v>#N/A</v>
      </c>
      <c r="I31"/>
    </row>
    <row r="32" spans="1:9" x14ac:dyDescent="0.25">
      <c r="A32" s="107" t="s">
        <v>20</v>
      </c>
      <c r="B32" s="107"/>
      <c r="C32" s="108" t="s">
        <v>68</v>
      </c>
      <c r="D32" s="109"/>
      <c r="E32" s="108"/>
      <c r="F32" s="108"/>
      <c r="G32" s="110"/>
      <c r="H32" s="111">
        <f>(SUMIF(Administrative1766717681869196101106111116123128133138143148153158519621[Duration],"While homeless only",Administrative1766717681869196101106111116123128133138143148153158519621[Monthly Cost Per Unit]))*12</f>
        <v>0</v>
      </c>
    </row>
    <row r="33" spans="1:8" x14ac:dyDescent="0.25">
      <c r="A33" s="112"/>
      <c r="B33" s="112"/>
      <c r="C33" s="108" t="s">
        <v>63</v>
      </c>
      <c r="D33" s="109"/>
      <c r="E33" s="108"/>
      <c r="F33" s="108"/>
      <c r="G33" s="110"/>
      <c r="H33" s="111">
        <f>(SUMIF(Administrative1766717681869196101106111116123128133138143148153158519621[Duration],"While housed only",Administrative1766717681869196101106111116123128133138143148153158519621[Monthly Cost Per Unit]))*12</f>
        <v>0</v>
      </c>
    </row>
    <row r="34" spans="1:8" x14ac:dyDescent="0.25">
      <c r="A34" s="112"/>
      <c r="B34" s="112"/>
      <c r="C34" s="108" t="s">
        <v>58</v>
      </c>
      <c r="D34" s="109"/>
      <c r="E34" s="108"/>
      <c r="F34" s="108"/>
      <c r="G34" s="110"/>
      <c r="H34" s="111">
        <f>(SUMIF(Administrative1766717681869196101106111116123128133138143148153158519621[Duration],"Homeless &amp; housed",Administrative1766717681869196101106111116123128133138143148153158519621[Monthly Cost Per Unit]))*12</f>
        <v>0</v>
      </c>
    </row>
    <row r="35" spans="1:8" ht="15.75" thickBot="1" x14ac:dyDescent="0.3">
      <c r="A35" s="113"/>
      <c r="B35" s="113"/>
      <c r="C35" s="114" t="s">
        <v>207</v>
      </c>
      <c r="D35" s="115"/>
      <c r="E35" s="114"/>
      <c r="F35" s="114"/>
      <c r="G35" s="116"/>
      <c r="H35" s="117">
        <f>(SUMIF(Administrative1766717681869196101106111116123128133138143148153158519621[Duration],"N/A",Administrative1766717681869196101106111116123128133138143148153158519621[Monthly Cost Per Unit]))*12</f>
        <v>0</v>
      </c>
    </row>
    <row r="36" spans="1:8" ht="16.5" thickTop="1" thickBot="1" x14ac:dyDescent="0.3">
      <c r="A36" s="113"/>
      <c r="B36" s="113"/>
      <c r="C36" s="114" t="s">
        <v>42</v>
      </c>
      <c r="D36" s="115"/>
      <c r="E36" s="114"/>
      <c r="F36" s="114"/>
      <c r="G36" s="133"/>
      <c r="H36" s="117">
        <f>SUM(H32:H35)</f>
        <v>0</v>
      </c>
    </row>
    <row r="37" spans="1:8" ht="15.75" thickTop="1" x14ac:dyDescent="0.25">
      <c r="A37" s="10"/>
      <c r="B37" s="10"/>
      <c r="C37" s="10"/>
      <c r="D37" s="10"/>
      <c r="F37" s="129"/>
      <c r="G37" s="129"/>
    </row>
    <row r="38" spans="1:8" x14ac:dyDescent="0.25">
      <c r="A38" s="274" t="s">
        <v>61</v>
      </c>
      <c r="B38" s="274"/>
      <c r="C38" s="274"/>
      <c r="D38" s="274"/>
      <c r="E38" s="274"/>
      <c r="F38" s="274"/>
      <c r="G38" s="274"/>
      <c r="H38" s="274"/>
    </row>
    <row r="39" spans="1:8" ht="30" customHeight="1" outlineLevel="1" x14ac:dyDescent="0.25">
      <c r="A39" s="294" t="s">
        <v>62</v>
      </c>
      <c r="B39" s="294"/>
      <c r="C39" s="294"/>
      <c r="D39" s="294"/>
      <c r="E39" s="294"/>
      <c r="F39" s="294"/>
      <c r="G39" s="294"/>
      <c r="H39" s="294"/>
    </row>
    <row r="40" spans="1:8" s="3" customFormat="1" ht="28.35" customHeight="1" x14ac:dyDescent="0.25">
      <c r="A40" s="131" t="s">
        <v>51</v>
      </c>
      <c r="B40" s="131" t="s">
        <v>52</v>
      </c>
      <c r="C40" s="131" t="s">
        <v>53</v>
      </c>
      <c r="D40" s="131" t="s">
        <v>54</v>
      </c>
      <c r="E40" s="131" t="s">
        <v>55</v>
      </c>
      <c r="F40" s="131" t="s">
        <v>56</v>
      </c>
      <c r="G40" s="131" t="s">
        <v>57</v>
      </c>
      <c r="H40" s="132" t="s">
        <v>20</v>
      </c>
    </row>
    <row r="41" spans="1:8" x14ac:dyDescent="0.25">
      <c r="A41" s="75"/>
      <c r="B41" s="76"/>
      <c r="C41" s="88"/>
      <c r="D41" s="89"/>
      <c r="E41" s="79"/>
      <c r="F41" s="79"/>
      <c r="G41" s="53" t="e" cm="1">
        <f t="array" ref="G41">_xlfn.IFS(Operations1867727782879297102107112117124129134139144149154159529722[[#This Row],[Unit]]="Program-wide",((_xlfn.IFS(Operations1867727782879297102107112117124129134139144149154159529722[[#This Row],[Frequency]]="Per Year",Operations1867727782879297102107112117124129134139144149154159529722[[#This Row],[Cost]]/12,Operations1867727782879297102107112117124129134139144149154159529722[[#This Row],[Frequency]]="Per month",Operations1867727782879297102107112117124129134139144149154159529722[[#This Row],[Cost]],Operations1867727782879297102107112117124129134139144149154159529722[[#This Row],[Frequency]]="Per day",Operations1867727782879297102107112117124129134139144149154159529722[[#This Row],[Cost]]*30,Operations1867727782879297102107112117124129134139144149154159529722[[#This Row],[Frequency]]="One-time",Operations1867727782879297102107112117124129134139144149154159529722[[#This Row],[Cost]]/SUM(C18,C19)))/$C$17),Operations1867727782879297102107112117124129134139144149154159529722[[#This Row],[Unit]]="Per unit/space/household",(_xlfn.IFS(Operations1867727782879297102107112117124129134139144149154159529722[[#This Row],[Frequency]]="Per Year",Operations1867727782879297102107112117124129134139144149154159529722[[#This Row],[Cost]]/12,Operations1867727782879297102107112117124129134139144149154159529722[[#This Row],[Frequency]]="Per month",Operations1867727782879297102107112117124129134139144149154159529722[[#This Row],[Cost]],Operations1867727782879297102107112117124129134139144149154159529722[[#This Row],[Frequency]]="Per day",Operations1867727782879297102107112117124129134139144149154159529722[[#This Row],[Cost]]*30,Operations1867727782879297102107112117124129134139144149154159529722[[#This Row],[Frequency]]="One-time",Operations1867727782879297102107112117124129134139144149154159529722[[#This Row],[Cost]]/SUM($C$18,$C$19))))</f>
        <v>#N/A</v>
      </c>
      <c r="H41" s="46" t="e">
        <f>Operations1867727782879297102107112117124129134139144149154159529722[[#This Row],[Monthly Cost Per Unit]]*12</f>
        <v>#N/A</v>
      </c>
    </row>
    <row r="42" spans="1:8" x14ac:dyDescent="0.25">
      <c r="A42" s="75"/>
      <c r="B42" s="76"/>
      <c r="C42" s="77"/>
      <c r="D42" s="78"/>
      <c r="E42" s="79"/>
      <c r="F42" s="79"/>
      <c r="G42" s="53" t="e" cm="1">
        <f t="array" ref="G42">_xlfn.IFS(Operations1867727782879297102107112117124129134139144149154159529722[[#This Row],[Unit]]="Program-wide",((_xlfn.IFS(Operations1867727782879297102107112117124129134139144149154159529722[[#This Row],[Frequency]]="Per Year",Operations1867727782879297102107112117124129134139144149154159529722[[#This Row],[Cost]]/12,Operations1867727782879297102107112117124129134139144149154159529722[[#This Row],[Frequency]]="Per month",Operations1867727782879297102107112117124129134139144149154159529722[[#This Row],[Cost]],Operations1867727782879297102107112117124129134139144149154159529722[[#This Row],[Frequency]]="Per day",Operations1867727782879297102107112117124129134139144149154159529722[[#This Row],[Cost]]*30,Operations1867727782879297102107112117124129134139144149154159529722[[#This Row],[Frequency]]="One-time",Operations1867727782879297102107112117124129134139144149154159529722[[#This Row],[Cost]]/SUM($C$18,$C$19)))/$C$17),Operations1867727782879297102107112117124129134139144149154159529722[[#This Row],[Unit]]="Per unit/space/household",(_xlfn.IFS(Operations1867727782879297102107112117124129134139144149154159529722[[#This Row],[Frequency]]="Per Year",Operations1867727782879297102107112117124129134139144149154159529722[[#This Row],[Cost]]/12,Operations1867727782879297102107112117124129134139144149154159529722[[#This Row],[Frequency]]="Per month",Operations1867727782879297102107112117124129134139144149154159529722[[#This Row],[Cost]],Operations1867727782879297102107112117124129134139144149154159529722[[#This Row],[Frequency]]="Per day",Operations1867727782879297102107112117124129134139144149154159529722[[#This Row],[Cost]]*30,Operations1867727782879297102107112117124129134139144149154159529722[[#This Row],[Frequency]]="One-time",Operations1867727782879297102107112117124129134139144149154159529722[[#This Row],[Cost]]/SUM($C$18,$C$19))))</f>
        <v>#N/A</v>
      </c>
      <c r="H42" s="46" t="e">
        <f>Operations1867727782879297102107112117124129134139144149154159529722[[#This Row],[Monthly Cost Per Unit]]*12</f>
        <v>#N/A</v>
      </c>
    </row>
    <row r="43" spans="1:8" x14ac:dyDescent="0.25">
      <c r="A43" s="75"/>
      <c r="B43" s="76"/>
      <c r="C43" s="77"/>
      <c r="D43" s="78"/>
      <c r="E43" s="79"/>
      <c r="F43" s="79"/>
      <c r="G43" s="53" t="e" cm="1">
        <f t="array" ref="G43">_xlfn.IFS(Operations1867727782879297102107112117124129134139144149154159529722[[#This Row],[Unit]]="Program-wide",((_xlfn.IFS(Operations1867727782879297102107112117124129134139144149154159529722[[#This Row],[Frequency]]="Per Year",Operations1867727782879297102107112117124129134139144149154159529722[[#This Row],[Cost]]/12,Operations1867727782879297102107112117124129134139144149154159529722[[#This Row],[Frequency]]="Per month",Operations1867727782879297102107112117124129134139144149154159529722[[#This Row],[Cost]],Operations1867727782879297102107112117124129134139144149154159529722[[#This Row],[Frequency]]="Per day",Operations1867727782879297102107112117124129134139144149154159529722[[#This Row],[Cost]]*30,Operations1867727782879297102107112117124129134139144149154159529722[[#This Row],[Frequency]]="One-time",Operations1867727782879297102107112117124129134139144149154159529722[[#This Row],[Cost]]/SUM($C$18,$C$19)))/$C$17),Operations1867727782879297102107112117124129134139144149154159529722[[#This Row],[Unit]]="Per unit/space/household",(_xlfn.IFS(Operations1867727782879297102107112117124129134139144149154159529722[[#This Row],[Frequency]]="Per Year",Operations1867727782879297102107112117124129134139144149154159529722[[#This Row],[Cost]]/12,Operations1867727782879297102107112117124129134139144149154159529722[[#This Row],[Frequency]]="Per month",Operations1867727782879297102107112117124129134139144149154159529722[[#This Row],[Cost]],Operations1867727782879297102107112117124129134139144149154159529722[[#This Row],[Frequency]]="Per day",Operations1867727782879297102107112117124129134139144149154159529722[[#This Row],[Cost]]*30,Operations1867727782879297102107112117124129134139144149154159529722[[#This Row],[Frequency]]="One-time",Operations1867727782879297102107112117124129134139144149154159529722[[#This Row],[Cost]]/SUM($C$18,$C$19))))</f>
        <v>#N/A</v>
      </c>
      <c r="H43" s="46" t="e">
        <f>Operations1867727782879297102107112117124129134139144149154159529722[[#This Row],[Monthly Cost Per Unit]]*12</f>
        <v>#N/A</v>
      </c>
    </row>
    <row r="44" spans="1:8" x14ac:dyDescent="0.25">
      <c r="A44" s="75"/>
      <c r="B44" s="76"/>
      <c r="C44" s="77"/>
      <c r="D44" s="78"/>
      <c r="E44" s="79"/>
      <c r="F44" s="79"/>
      <c r="G44" s="53" t="e" cm="1">
        <f t="array" ref="G44">_xlfn.IFS(Operations1867727782879297102107112117124129134139144149154159529722[[#This Row],[Unit]]="Program-wide",((_xlfn.IFS(Operations1867727782879297102107112117124129134139144149154159529722[[#This Row],[Frequency]]="Per Year",Operations1867727782879297102107112117124129134139144149154159529722[[#This Row],[Cost]]/12,Operations1867727782879297102107112117124129134139144149154159529722[[#This Row],[Frequency]]="Per month",Operations1867727782879297102107112117124129134139144149154159529722[[#This Row],[Cost]],Operations1867727782879297102107112117124129134139144149154159529722[[#This Row],[Frequency]]="Per day",Operations1867727782879297102107112117124129134139144149154159529722[[#This Row],[Cost]]*30,Operations1867727782879297102107112117124129134139144149154159529722[[#This Row],[Frequency]]="One-time",Operations1867727782879297102107112117124129134139144149154159529722[[#This Row],[Cost]]/SUM($C$18,$C$19)))/$C$17),Operations1867727782879297102107112117124129134139144149154159529722[[#This Row],[Unit]]="Per unit/space/household",(_xlfn.IFS(Operations1867727782879297102107112117124129134139144149154159529722[[#This Row],[Frequency]]="Per Year",Operations1867727782879297102107112117124129134139144149154159529722[[#This Row],[Cost]]/12,Operations1867727782879297102107112117124129134139144149154159529722[[#This Row],[Frequency]]="Per month",Operations1867727782879297102107112117124129134139144149154159529722[[#This Row],[Cost]],Operations1867727782879297102107112117124129134139144149154159529722[[#This Row],[Frequency]]="Per day",Operations1867727782879297102107112117124129134139144149154159529722[[#This Row],[Cost]]*30,Operations1867727782879297102107112117124129134139144149154159529722[[#This Row],[Frequency]]="One-time",Operations1867727782879297102107112117124129134139144149154159529722[[#This Row],[Cost]]/SUM($C$18,$C$19))))</f>
        <v>#N/A</v>
      </c>
      <c r="H44" s="46" t="e">
        <f>Operations1867727782879297102107112117124129134139144149154159529722[[#This Row],[Monthly Cost Per Unit]]*12</f>
        <v>#N/A</v>
      </c>
    </row>
    <row r="45" spans="1:8" x14ac:dyDescent="0.25">
      <c r="A45" s="75"/>
      <c r="B45" s="76"/>
      <c r="C45" s="77"/>
      <c r="D45" s="78"/>
      <c r="E45" s="79"/>
      <c r="F45" s="79"/>
      <c r="G45" s="53" t="e" cm="1">
        <f t="array" ref="G45">_xlfn.IFS(Operations1867727782879297102107112117124129134139144149154159529722[[#This Row],[Unit]]="Program-wide",((_xlfn.IFS(Operations1867727782879297102107112117124129134139144149154159529722[[#This Row],[Frequency]]="Per Year",Operations1867727782879297102107112117124129134139144149154159529722[[#This Row],[Cost]]/12,Operations1867727782879297102107112117124129134139144149154159529722[[#This Row],[Frequency]]="Per month",Operations1867727782879297102107112117124129134139144149154159529722[[#This Row],[Cost]],Operations1867727782879297102107112117124129134139144149154159529722[[#This Row],[Frequency]]="Per day",Operations1867727782879297102107112117124129134139144149154159529722[[#This Row],[Cost]]*30,Operations1867727782879297102107112117124129134139144149154159529722[[#This Row],[Frequency]]="One-time",Operations1867727782879297102107112117124129134139144149154159529722[[#This Row],[Cost]]/SUM($C$18,$C$19)))/$C$17),Operations1867727782879297102107112117124129134139144149154159529722[[#This Row],[Unit]]="Per unit/space/household",(_xlfn.IFS(Operations1867727782879297102107112117124129134139144149154159529722[[#This Row],[Frequency]]="Per Year",Operations1867727782879297102107112117124129134139144149154159529722[[#This Row],[Cost]]/12,Operations1867727782879297102107112117124129134139144149154159529722[[#This Row],[Frequency]]="Per month",Operations1867727782879297102107112117124129134139144149154159529722[[#This Row],[Cost]],Operations1867727782879297102107112117124129134139144149154159529722[[#This Row],[Frequency]]="Per day",Operations1867727782879297102107112117124129134139144149154159529722[[#This Row],[Cost]]*30,Operations1867727782879297102107112117124129134139144149154159529722[[#This Row],[Frequency]]="One-time",Operations1867727782879297102107112117124129134139144149154159529722[[#This Row],[Cost]]/SUM($C$18,$C$19))))</f>
        <v>#N/A</v>
      </c>
      <c r="H45" s="46" t="e">
        <f>Operations1867727782879297102107112117124129134139144149154159529722[[#This Row],[Monthly Cost Per Unit]]*12</f>
        <v>#N/A</v>
      </c>
    </row>
    <row r="46" spans="1:8" x14ac:dyDescent="0.25">
      <c r="A46" s="75"/>
      <c r="B46" s="76"/>
      <c r="C46" s="77"/>
      <c r="D46" s="78"/>
      <c r="E46" s="79"/>
      <c r="F46" s="79"/>
      <c r="G46" s="53" t="e" cm="1">
        <f t="array" ref="G46">_xlfn.IFS(Operations1867727782879297102107112117124129134139144149154159529722[[#This Row],[Unit]]="Program-wide",((_xlfn.IFS(Operations1867727782879297102107112117124129134139144149154159529722[[#This Row],[Frequency]]="Per Year",Operations1867727782879297102107112117124129134139144149154159529722[[#This Row],[Cost]]/12,Operations1867727782879297102107112117124129134139144149154159529722[[#This Row],[Frequency]]="Per month",Operations1867727782879297102107112117124129134139144149154159529722[[#This Row],[Cost]],Operations1867727782879297102107112117124129134139144149154159529722[[#This Row],[Frequency]]="Per day",Operations1867727782879297102107112117124129134139144149154159529722[[#This Row],[Cost]]*30,Operations1867727782879297102107112117124129134139144149154159529722[[#This Row],[Frequency]]="One-time",Operations1867727782879297102107112117124129134139144149154159529722[[#This Row],[Cost]]/SUM($C$18,$C$19)))/$C$17),Operations1867727782879297102107112117124129134139144149154159529722[[#This Row],[Unit]]="Per unit/space/household",(_xlfn.IFS(Operations1867727782879297102107112117124129134139144149154159529722[[#This Row],[Frequency]]="Per Year",Operations1867727782879297102107112117124129134139144149154159529722[[#This Row],[Cost]]/12,Operations1867727782879297102107112117124129134139144149154159529722[[#This Row],[Frequency]]="Per month",Operations1867727782879297102107112117124129134139144149154159529722[[#This Row],[Cost]],Operations1867727782879297102107112117124129134139144149154159529722[[#This Row],[Frequency]]="Per day",Operations1867727782879297102107112117124129134139144149154159529722[[#This Row],[Cost]]*30,Operations1867727782879297102107112117124129134139144149154159529722[[#This Row],[Frequency]]="One-time",Operations1867727782879297102107112117124129134139144149154159529722[[#This Row],[Cost]]/SUM($C$18,$C$19))))</f>
        <v>#N/A</v>
      </c>
      <c r="H46" s="46" t="e">
        <f>Operations1867727782879297102107112117124129134139144149154159529722[[#This Row],[Monthly Cost Per Unit]]*12</f>
        <v>#N/A</v>
      </c>
    </row>
    <row r="47" spans="1:8" x14ac:dyDescent="0.25">
      <c r="A47" s="75"/>
      <c r="B47" s="76"/>
      <c r="C47" s="77"/>
      <c r="D47" s="78"/>
      <c r="E47" s="79"/>
      <c r="F47" s="79"/>
      <c r="G47" s="53" t="e" cm="1">
        <f t="array" ref="G47">_xlfn.IFS(Operations1867727782879297102107112117124129134139144149154159529722[[#This Row],[Unit]]="Program-wide",((_xlfn.IFS(Operations1867727782879297102107112117124129134139144149154159529722[[#This Row],[Frequency]]="Per Year",Operations1867727782879297102107112117124129134139144149154159529722[[#This Row],[Cost]]/12,Operations1867727782879297102107112117124129134139144149154159529722[[#This Row],[Frequency]]="Per month",Operations1867727782879297102107112117124129134139144149154159529722[[#This Row],[Cost]],Operations1867727782879297102107112117124129134139144149154159529722[[#This Row],[Frequency]]="Per day",Operations1867727782879297102107112117124129134139144149154159529722[[#This Row],[Cost]]*30,Operations1867727782879297102107112117124129134139144149154159529722[[#This Row],[Frequency]]="One-time",Operations1867727782879297102107112117124129134139144149154159529722[[#This Row],[Cost]]/SUM($C$18,$C$19)))/$C$17),Operations1867727782879297102107112117124129134139144149154159529722[[#This Row],[Unit]]="Per unit/space/household",(_xlfn.IFS(Operations1867727782879297102107112117124129134139144149154159529722[[#This Row],[Frequency]]="Per Year",Operations1867727782879297102107112117124129134139144149154159529722[[#This Row],[Cost]]/12,Operations1867727782879297102107112117124129134139144149154159529722[[#This Row],[Frequency]]="Per month",Operations1867727782879297102107112117124129134139144149154159529722[[#This Row],[Cost]],Operations1867727782879297102107112117124129134139144149154159529722[[#This Row],[Frequency]]="Per day",Operations1867727782879297102107112117124129134139144149154159529722[[#This Row],[Cost]]*30,Operations1867727782879297102107112117124129134139144149154159529722[[#This Row],[Frequency]]="One-time",Operations1867727782879297102107112117124129134139144149154159529722[[#This Row],[Cost]]/SUM($C$18,$C$19))))</f>
        <v>#N/A</v>
      </c>
      <c r="H47" s="46" t="e">
        <f>Operations1867727782879297102107112117124129134139144149154159529722[[#This Row],[Monthly Cost Per Unit]]*12</f>
        <v>#N/A</v>
      </c>
    </row>
    <row r="48" spans="1:8" x14ac:dyDescent="0.25">
      <c r="A48" s="75"/>
      <c r="B48" s="76"/>
      <c r="C48" s="77"/>
      <c r="D48" s="78"/>
      <c r="E48" s="79"/>
      <c r="F48" s="79"/>
      <c r="G48" s="53" t="e" cm="1">
        <f t="array" ref="G48">_xlfn.IFS(Operations1867727782879297102107112117124129134139144149154159529722[[#This Row],[Unit]]="Program-wide",((_xlfn.IFS(Operations1867727782879297102107112117124129134139144149154159529722[[#This Row],[Frequency]]="Per Year",Operations1867727782879297102107112117124129134139144149154159529722[[#This Row],[Cost]]/12,Operations1867727782879297102107112117124129134139144149154159529722[[#This Row],[Frequency]]="Per month",Operations1867727782879297102107112117124129134139144149154159529722[[#This Row],[Cost]],Operations1867727782879297102107112117124129134139144149154159529722[[#This Row],[Frequency]]="Per day",Operations1867727782879297102107112117124129134139144149154159529722[[#This Row],[Cost]]*30,Operations1867727782879297102107112117124129134139144149154159529722[[#This Row],[Frequency]]="One-time",Operations1867727782879297102107112117124129134139144149154159529722[[#This Row],[Cost]]/SUM($C$18,$C$19)))/$C$17),Operations1867727782879297102107112117124129134139144149154159529722[[#This Row],[Unit]]="Per unit/space/household",(_xlfn.IFS(Operations1867727782879297102107112117124129134139144149154159529722[[#This Row],[Frequency]]="Per Year",Operations1867727782879297102107112117124129134139144149154159529722[[#This Row],[Cost]]/12,Operations1867727782879297102107112117124129134139144149154159529722[[#This Row],[Frequency]]="Per month",Operations1867727782879297102107112117124129134139144149154159529722[[#This Row],[Cost]],Operations1867727782879297102107112117124129134139144149154159529722[[#This Row],[Frequency]]="Per day",Operations1867727782879297102107112117124129134139144149154159529722[[#This Row],[Cost]]*30,Operations1867727782879297102107112117124129134139144149154159529722[[#This Row],[Frequency]]="One-time",Operations1867727782879297102107112117124129134139144149154159529722[[#This Row],[Cost]]/SUM($C$18,$C$19))))</f>
        <v>#N/A</v>
      </c>
      <c r="H48" s="46" t="e">
        <f>Operations1867727782879297102107112117124129134139144149154159529722[[#This Row],[Monthly Cost Per Unit]]*12</f>
        <v>#N/A</v>
      </c>
    </row>
    <row r="49" spans="1:9" x14ac:dyDescent="0.25">
      <c r="A49" s="75"/>
      <c r="B49" s="76"/>
      <c r="C49" s="77"/>
      <c r="D49" s="78"/>
      <c r="E49" s="79"/>
      <c r="F49" s="79"/>
      <c r="G49" s="53" t="e" cm="1">
        <f t="array" ref="G49">_xlfn.IFS(Operations1867727782879297102107112117124129134139144149154159529722[[#This Row],[Unit]]="Program-wide",((_xlfn.IFS(Operations1867727782879297102107112117124129134139144149154159529722[[#This Row],[Frequency]]="Per Year",Operations1867727782879297102107112117124129134139144149154159529722[[#This Row],[Cost]]/12,Operations1867727782879297102107112117124129134139144149154159529722[[#This Row],[Frequency]]="Per month",Operations1867727782879297102107112117124129134139144149154159529722[[#This Row],[Cost]],Operations1867727782879297102107112117124129134139144149154159529722[[#This Row],[Frequency]]="Per day",Operations1867727782879297102107112117124129134139144149154159529722[[#This Row],[Cost]]*30,Operations1867727782879297102107112117124129134139144149154159529722[[#This Row],[Frequency]]="One-time",Operations1867727782879297102107112117124129134139144149154159529722[[#This Row],[Cost]]/SUM($C$18,$C$19)))/$C$17),Operations1867727782879297102107112117124129134139144149154159529722[[#This Row],[Unit]]="Per unit/space/household",(_xlfn.IFS(Operations1867727782879297102107112117124129134139144149154159529722[[#This Row],[Frequency]]="Per Year",Operations1867727782879297102107112117124129134139144149154159529722[[#This Row],[Cost]]/12,Operations1867727782879297102107112117124129134139144149154159529722[[#This Row],[Frequency]]="Per month",Operations1867727782879297102107112117124129134139144149154159529722[[#This Row],[Cost]],Operations1867727782879297102107112117124129134139144149154159529722[[#This Row],[Frequency]]="Per day",Operations1867727782879297102107112117124129134139144149154159529722[[#This Row],[Cost]]*30,Operations1867727782879297102107112117124129134139144149154159529722[[#This Row],[Frequency]]="One-time",Operations1867727782879297102107112117124129134139144149154159529722[[#This Row],[Cost]]/SUM($C$18,$C$19))))</f>
        <v>#N/A</v>
      </c>
      <c r="H49" s="46" t="e">
        <f>Operations1867727782879297102107112117124129134139144149154159529722[[#This Row],[Monthly Cost Per Unit]]*12</f>
        <v>#N/A</v>
      </c>
    </row>
    <row r="50" spans="1:9" x14ac:dyDescent="0.25">
      <c r="A50" s="75"/>
      <c r="B50" s="76"/>
      <c r="C50" s="77"/>
      <c r="D50" s="78"/>
      <c r="E50" s="79"/>
      <c r="F50" s="79"/>
      <c r="G50" s="53" t="e" cm="1">
        <f t="array" ref="G50">_xlfn.IFS(Operations1867727782879297102107112117124129134139144149154159529722[[#This Row],[Unit]]="Program-wide",((_xlfn.IFS(Operations1867727782879297102107112117124129134139144149154159529722[[#This Row],[Frequency]]="Per Year",Operations1867727782879297102107112117124129134139144149154159529722[[#This Row],[Cost]]/12,Operations1867727782879297102107112117124129134139144149154159529722[[#This Row],[Frequency]]="Per month",Operations1867727782879297102107112117124129134139144149154159529722[[#This Row],[Cost]],Operations1867727782879297102107112117124129134139144149154159529722[[#This Row],[Frequency]]="Per day",Operations1867727782879297102107112117124129134139144149154159529722[[#This Row],[Cost]]*30,Operations1867727782879297102107112117124129134139144149154159529722[[#This Row],[Frequency]]="One-time",Operations1867727782879297102107112117124129134139144149154159529722[[#This Row],[Cost]]/SUM($C$18,$C$19)))/$C$17),Operations1867727782879297102107112117124129134139144149154159529722[[#This Row],[Unit]]="Per unit/space/household",(_xlfn.IFS(Operations1867727782879297102107112117124129134139144149154159529722[[#This Row],[Frequency]]="Per Year",Operations1867727782879297102107112117124129134139144149154159529722[[#This Row],[Cost]]/12,Operations1867727782879297102107112117124129134139144149154159529722[[#This Row],[Frequency]]="Per month",Operations1867727782879297102107112117124129134139144149154159529722[[#This Row],[Cost]],Operations1867727782879297102107112117124129134139144149154159529722[[#This Row],[Frequency]]="Per day",Operations1867727782879297102107112117124129134139144149154159529722[[#This Row],[Cost]]*30,Operations1867727782879297102107112117124129134139144149154159529722[[#This Row],[Frequency]]="One-time",Operations1867727782879297102107112117124129134139144149154159529722[[#This Row],[Cost]]/SUM($C$18,$C$19))))</f>
        <v>#N/A</v>
      </c>
      <c r="H50" s="46" t="e">
        <f>Operations1867727782879297102107112117124129134139144149154159529722[[#This Row],[Monthly Cost Per Unit]]*12</f>
        <v>#N/A</v>
      </c>
    </row>
    <row r="51" spans="1:9" x14ac:dyDescent="0.25">
      <c r="A51" s="75"/>
      <c r="B51" s="76"/>
      <c r="C51" s="77"/>
      <c r="D51" s="78"/>
      <c r="E51" s="79"/>
      <c r="F51" s="79"/>
      <c r="G51" s="53" t="e" cm="1">
        <f t="array" ref="G51">_xlfn.IFS(Operations1867727782879297102107112117124129134139144149154159529722[[#This Row],[Unit]]="Program-wide",((_xlfn.IFS(Operations1867727782879297102107112117124129134139144149154159529722[[#This Row],[Frequency]]="Per Year",Operations1867727782879297102107112117124129134139144149154159529722[[#This Row],[Cost]]/12,Operations1867727782879297102107112117124129134139144149154159529722[[#This Row],[Frequency]]="Per month",Operations1867727782879297102107112117124129134139144149154159529722[[#This Row],[Cost]],Operations1867727782879297102107112117124129134139144149154159529722[[#This Row],[Frequency]]="Per day",Operations1867727782879297102107112117124129134139144149154159529722[[#This Row],[Cost]]*30,Operations1867727782879297102107112117124129134139144149154159529722[[#This Row],[Frequency]]="One-time",Operations1867727782879297102107112117124129134139144149154159529722[[#This Row],[Cost]]/SUM($C$18,$C$19)))/$C$17),Operations1867727782879297102107112117124129134139144149154159529722[[#This Row],[Unit]]="Per unit/space/household",(_xlfn.IFS(Operations1867727782879297102107112117124129134139144149154159529722[[#This Row],[Frequency]]="Per Year",Operations1867727782879297102107112117124129134139144149154159529722[[#This Row],[Cost]]/12,Operations1867727782879297102107112117124129134139144149154159529722[[#This Row],[Frequency]]="Per month",Operations1867727782879297102107112117124129134139144149154159529722[[#This Row],[Cost]],Operations1867727782879297102107112117124129134139144149154159529722[[#This Row],[Frequency]]="Per day",Operations1867727782879297102107112117124129134139144149154159529722[[#This Row],[Cost]]*30,Operations1867727782879297102107112117124129134139144149154159529722[[#This Row],[Frequency]]="One-time",Operations1867727782879297102107112117124129134139144149154159529722[[#This Row],[Cost]]/SUM($C$18,$C$19))))</f>
        <v>#N/A</v>
      </c>
      <c r="H51" s="46" t="e">
        <f>Operations1867727782879297102107112117124129134139144149154159529722[[#This Row],[Monthly Cost Per Unit]]*12</f>
        <v>#N/A</v>
      </c>
    </row>
    <row r="52" spans="1:9" x14ac:dyDescent="0.25">
      <c r="A52" s="75"/>
      <c r="B52" s="76"/>
      <c r="C52" s="77"/>
      <c r="D52" s="78"/>
      <c r="E52" s="79"/>
      <c r="F52" s="79"/>
      <c r="G52" s="55" t="e" cm="1">
        <f t="array" ref="G52">_xlfn.IFS(Operations1867727782879297102107112117124129134139144149154159529722[[#This Row],[Unit]]="Program-wide",((_xlfn.IFS(Operations1867727782879297102107112117124129134139144149154159529722[[#This Row],[Frequency]]="Per Year",Operations1867727782879297102107112117124129134139144149154159529722[[#This Row],[Cost]]/12,Operations1867727782879297102107112117124129134139144149154159529722[[#This Row],[Frequency]]="Per month",Operations1867727782879297102107112117124129134139144149154159529722[[#This Row],[Cost]],Operations1867727782879297102107112117124129134139144149154159529722[[#This Row],[Frequency]]="Per day",Operations1867727782879297102107112117124129134139144149154159529722[[#This Row],[Cost]]*30,Operations1867727782879297102107112117124129134139144149154159529722[[#This Row],[Frequency]]="One-time",Operations1867727782879297102107112117124129134139144149154159529722[[#This Row],[Cost]]/SUM($C$18,$C$19)))/$C$17),Operations1867727782879297102107112117124129134139144149154159529722[[#This Row],[Unit]]="Per unit/space/household",(_xlfn.IFS(Operations1867727782879297102107112117124129134139144149154159529722[[#This Row],[Frequency]]="Per Year",Operations1867727782879297102107112117124129134139144149154159529722[[#This Row],[Cost]]/12,Operations1867727782879297102107112117124129134139144149154159529722[[#This Row],[Frequency]]="Per month",Operations1867727782879297102107112117124129134139144149154159529722[[#This Row],[Cost]],Operations1867727782879297102107112117124129134139144149154159529722[[#This Row],[Frequency]]="Per day",Operations1867727782879297102107112117124129134139144149154159529722[[#This Row],[Cost]]*30,Operations1867727782879297102107112117124129134139144149154159529722[[#This Row],[Frequency]]="One-time",Operations1867727782879297102107112117124129134139144149154159529722[[#This Row],[Cost]]/SUM($C$18,$C$19))))</f>
        <v>#N/A</v>
      </c>
      <c r="H52" s="46" t="e">
        <f>Operations1867727782879297102107112117124129134139144149154159529722[[#This Row],[Monthly Cost Per Unit]]*12</f>
        <v>#N/A</v>
      </c>
    </row>
    <row r="53" spans="1:9" x14ac:dyDescent="0.25">
      <c r="A53" s="107" t="s">
        <v>20</v>
      </c>
      <c r="B53" s="107"/>
      <c r="C53" s="108" t="s">
        <v>68</v>
      </c>
      <c r="D53" s="109"/>
      <c r="E53" s="108"/>
      <c r="F53" s="108"/>
      <c r="G53" s="118"/>
      <c r="H53" s="111">
        <f>(SUMIF(Operations1867727782879297102107112117124129134139144149154159529722[Duration],"While homeless only",Operations1867727782879297102107112117124129134139144149154159529722[Monthly Cost Per Unit]))*12</f>
        <v>0</v>
      </c>
    </row>
    <row r="54" spans="1:9" x14ac:dyDescent="0.25">
      <c r="A54" s="112"/>
      <c r="B54" s="112"/>
      <c r="C54" s="108" t="s">
        <v>63</v>
      </c>
      <c r="D54" s="109"/>
      <c r="E54" s="108"/>
      <c r="F54" s="108"/>
      <c r="G54" s="111"/>
      <c r="H54" s="111">
        <f>(SUMIF(Operations1867727782879297102107112117124129134139144149154159529722[Duration],"While housed only",Operations1867727782879297102107112117124129134139144149154159529722[Monthly Cost Per Unit]))*12</f>
        <v>0</v>
      </c>
    </row>
    <row r="55" spans="1:9" x14ac:dyDescent="0.25">
      <c r="A55" s="112"/>
      <c r="B55" s="112"/>
      <c r="C55" s="108" t="s">
        <v>58</v>
      </c>
      <c r="D55" s="109"/>
      <c r="E55" s="108"/>
      <c r="F55" s="108"/>
      <c r="G55" s="111"/>
      <c r="H55" s="111">
        <f>(SUMIF(Operations1867727782879297102107112117124129134139144149154159529722[Duration],"Homeless &amp; housed",Operations1867727782879297102107112117124129134139144149154159529722[Monthly Cost Per Unit]))*12</f>
        <v>0</v>
      </c>
    </row>
    <row r="56" spans="1:9" ht="15.75" thickBot="1" x14ac:dyDescent="0.3">
      <c r="A56" s="113"/>
      <c r="B56" s="113"/>
      <c r="C56" s="114" t="s">
        <v>207</v>
      </c>
      <c r="D56" s="115"/>
      <c r="E56" s="114"/>
      <c r="F56" s="114"/>
      <c r="G56" s="117"/>
      <c r="H56" s="117">
        <f>(SUMIF(Operations1867727782879297102107112117124129134139144149154159529722[Duration],"N/A",Operations1867727782879297102107112117124129134139144149154159529722[Monthly Cost Per Unit]))*12</f>
        <v>0</v>
      </c>
    </row>
    <row r="57" spans="1:9" ht="16.5" thickTop="1" thickBot="1" x14ac:dyDescent="0.3">
      <c r="A57" s="113"/>
      <c r="B57" s="113"/>
      <c r="C57" s="114" t="s">
        <v>42</v>
      </c>
      <c r="D57" s="115"/>
      <c r="E57" s="114"/>
      <c r="F57" s="114"/>
      <c r="G57" s="117"/>
      <c r="H57" s="117">
        <f>SUM(H53:H56)</f>
        <v>0</v>
      </c>
    </row>
    <row r="58" spans="1:9" ht="15.75" thickTop="1" x14ac:dyDescent="0.25">
      <c r="A58" s="134"/>
      <c r="B58" s="134"/>
      <c r="C58" s="135"/>
      <c r="D58" s="136"/>
      <c r="E58" s="137"/>
      <c r="F58" s="137"/>
      <c r="G58" s="138"/>
    </row>
    <row r="59" spans="1:9" x14ac:dyDescent="0.25">
      <c r="A59" s="274" t="s">
        <v>69</v>
      </c>
      <c r="B59" s="274"/>
      <c r="C59" s="274"/>
      <c r="D59" s="274"/>
      <c r="E59" s="274"/>
      <c r="F59" s="274"/>
      <c r="G59" s="274"/>
      <c r="H59" s="274"/>
      <c r="I59" s="129"/>
    </row>
    <row r="60" spans="1:9" ht="27.95" customHeight="1" outlineLevel="1" x14ac:dyDescent="0.25">
      <c r="A60" s="281" t="s">
        <v>108</v>
      </c>
      <c r="B60" s="281"/>
      <c r="C60" s="281"/>
      <c r="D60" s="281"/>
      <c r="E60" s="281"/>
      <c r="F60" s="281"/>
      <c r="G60" s="281"/>
      <c r="H60" s="281"/>
      <c r="I60" s="129"/>
    </row>
    <row r="61" spans="1:9" ht="18" customHeight="1" outlineLevel="1" x14ac:dyDescent="0.25">
      <c r="A61" s="279" t="s">
        <v>70</v>
      </c>
      <c r="B61" s="279"/>
      <c r="C61" s="279"/>
      <c r="D61" s="279"/>
      <c r="E61" s="279"/>
      <c r="F61" s="279"/>
      <c r="G61" s="92"/>
      <c r="H61" s="10"/>
      <c r="I61" s="129"/>
    </row>
    <row r="62" spans="1:9" ht="45" customHeight="1" outlineLevel="1" x14ac:dyDescent="0.25">
      <c r="A62" s="278" t="s">
        <v>118</v>
      </c>
      <c r="B62" s="278"/>
      <c r="C62" s="278"/>
      <c r="D62" s="278"/>
      <c r="E62" s="278"/>
      <c r="F62" s="278"/>
      <c r="G62" s="92"/>
      <c r="H62" s="10"/>
      <c r="I62" s="129"/>
    </row>
    <row r="63" spans="1:9" ht="60.75" thickBot="1" x14ac:dyDescent="0.3">
      <c r="A63" s="128"/>
      <c r="B63" t="s">
        <v>71</v>
      </c>
      <c r="C63" s="11" t="s">
        <v>72</v>
      </c>
      <c r="D63" s="11" t="s">
        <v>73</v>
      </c>
      <c r="E63" s="11" t="s">
        <v>74</v>
      </c>
      <c r="F63" s="31" t="s">
        <v>75</v>
      </c>
      <c r="G63" s="10"/>
    </row>
    <row r="64" spans="1:9" ht="16.5" thickTop="1" thickBot="1" x14ac:dyDescent="0.3">
      <c r="A64" s="139" t="s">
        <v>76</v>
      </c>
      <c r="B64" s="90">
        <v>0</v>
      </c>
      <c r="C64" s="91">
        <v>0</v>
      </c>
      <c r="D64" s="91">
        <v>0</v>
      </c>
      <c r="E64" s="91">
        <v>0</v>
      </c>
      <c r="F64" s="140">
        <f>SUM(D64:E64)</f>
        <v>0</v>
      </c>
      <c r="G64" s="10"/>
    </row>
    <row r="65" spans="1:9" s="3" customFormat="1" ht="16.5" thickTop="1" thickBot="1" x14ac:dyDescent="0.3">
      <c r="A65" s="139" t="s">
        <v>77</v>
      </c>
      <c r="B65" s="90">
        <v>0</v>
      </c>
      <c r="C65" s="91">
        <v>0</v>
      </c>
      <c r="D65" s="91">
        <v>0</v>
      </c>
      <c r="E65" s="91">
        <v>0</v>
      </c>
      <c r="F65" s="140">
        <f t="shared" ref="F65:F71" si="0">SUM(D65:E65)</f>
        <v>0</v>
      </c>
      <c r="G65" s="10"/>
    </row>
    <row r="66" spans="1:9" ht="16.5" thickTop="1" thickBot="1" x14ac:dyDescent="0.3">
      <c r="A66" s="139" t="s">
        <v>78</v>
      </c>
      <c r="B66" s="90">
        <v>0</v>
      </c>
      <c r="C66" s="91">
        <v>0</v>
      </c>
      <c r="D66" s="91">
        <v>0</v>
      </c>
      <c r="E66" s="91">
        <v>0</v>
      </c>
      <c r="F66" s="140">
        <f t="shared" si="0"/>
        <v>0</v>
      </c>
      <c r="G66" s="10"/>
    </row>
    <row r="67" spans="1:9" ht="16.5" thickTop="1" thickBot="1" x14ac:dyDescent="0.3">
      <c r="A67" s="139" t="s">
        <v>79</v>
      </c>
      <c r="B67" s="90">
        <v>0</v>
      </c>
      <c r="C67" s="91">
        <v>0</v>
      </c>
      <c r="D67" s="91">
        <v>0</v>
      </c>
      <c r="E67" s="91">
        <v>0</v>
      </c>
      <c r="F67" s="140">
        <f t="shared" si="0"/>
        <v>0</v>
      </c>
      <c r="G67" s="10"/>
    </row>
    <row r="68" spans="1:9" ht="16.5" thickTop="1" thickBot="1" x14ac:dyDescent="0.3">
      <c r="A68" s="139" t="s">
        <v>80</v>
      </c>
      <c r="B68" s="90">
        <v>0</v>
      </c>
      <c r="C68" s="91">
        <v>0</v>
      </c>
      <c r="D68" s="91">
        <v>0</v>
      </c>
      <c r="E68" s="91">
        <v>0</v>
      </c>
      <c r="F68" s="140">
        <f t="shared" si="0"/>
        <v>0</v>
      </c>
      <c r="G68" s="10"/>
    </row>
    <row r="69" spans="1:9" ht="16.5" thickTop="1" thickBot="1" x14ac:dyDescent="0.3">
      <c r="A69" s="139" t="s">
        <v>81</v>
      </c>
      <c r="B69" s="90">
        <v>0</v>
      </c>
      <c r="C69" s="91">
        <v>0</v>
      </c>
      <c r="D69" s="91">
        <v>0</v>
      </c>
      <c r="E69" s="91">
        <v>0</v>
      </c>
      <c r="F69" s="140">
        <f t="shared" si="0"/>
        <v>0</v>
      </c>
      <c r="G69" s="10"/>
    </row>
    <row r="70" spans="1:9" ht="16.5" thickTop="1" thickBot="1" x14ac:dyDescent="0.3">
      <c r="A70" s="139" t="s">
        <v>82</v>
      </c>
      <c r="B70" s="90">
        <v>0</v>
      </c>
      <c r="C70" s="91">
        <v>0</v>
      </c>
      <c r="D70" s="91">
        <v>0</v>
      </c>
      <c r="E70" s="91">
        <v>0</v>
      </c>
      <c r="F70" s="140">
        <f t="shared" si="0"/>
        <v>0</v>
      </c>
      <c r="G70" s="10"/>
    </row>
    <row r="71" spans="1:9" ht="16.5" thickTop="1" thickBot="1" x14ac:dyDescent="0.3">
      <c r="A71" s="139" t="s">
        <v>83</v>
      </c>
      <c r="B71" s="90">
        <v>0</v>
      </c>
      <c r="C71" s="91">
        <v>0</v>
      </c>
      <c r="D71" s="91">
        <v>0</v>
      </c>
      <c r="E71" s="91">
        <v>0</v>
      </c>
      <c r="F71" s="140">
        <f t="shared" si="0"/>
        <v>0</v>
      </c>
      <c r="G71" s="10"/>
    </row>
    <row r="72" spans="1:9" ht="15.75" thickTop="1" x14ac:dyDescent="0.25">
      <c r="A72" s="141" t="s">
        <v>21</v>
      </c>
      <c r="C72" s="142" t="e">
        <f>SUM((C64*B64),(C65*B65),(C66*B66),(C67*B67),(C68*B68),(C69*B69),(C70*B70),(C71*B71))/(SUM(B64:B71))</f>
        <v>#DIV/0!</v>
      </c>
      <c r="D72" s="142" t="e">
        <f>SUM((D64*B64),(D65*B65),(D66*B66),(D67*B67),(D68*B68),(D69*B69),(D70*B70),(D71*B71))/(SUM(B64:B71))</f>
        <v>#DIV/0!</v>
      </c>
      <c r="E72" s="142" t="e">
        <f>SUM((E64*B64),(E65*B65),(E66*B66),(E67*B67),(E68*B68),(E69*B69),(E70*B70),(E71*B71))/(SUM(B64:B71))</f>
        <v>#DIV/0!</v>
      </c>
      <c r="F72" s="143" t="e">
        <f>SUM((F64*B64),(F65*B65),(F66*B66),(F67*B67),(F68*B68),(F69*B69),(F70*B70),(F71*B71))/(SUM(B64:B71))</f>
        <v>#DIV/0!</v>
      </c>
      <c r="G72" s="10"/>
    </row>
    <row r="73" spans="1:9" x14ac:dyDescent="0.25">
      <c r="A73" s="144"/>
      <c r="B73" s="145"/>
      <c r="C73" s="145"/>
      <c r="E73" s="10"/>
      <c r="F73" s="10"/>
      <c r="G73" s="129"/>
    </row>
    <row r="74" spans="1:9" x14ac:dyDescent="0.25">
      <c r="A74" s="279" t="s">
        <v>84</v>
      </c>
      <c r="B74" s="279"/>
      <c r="C74" s="279"/>
      <c r="D74" s="279"/>
      <c r="E74" s="279"/>
      <c r="F74" s="279"/>
      <c r="G74" s="279"/>
      <c r="H74" s="279"/>
    </row>
    <row r="75" spans="1:9" s="1" customFormat="1" ht="50.25" customHeight="1" outlineLevel="1" x14ac:dyDescent="0.25">
      <c r="A75" s="278" t="s">
        <v>119</v>
      </c>
      <c r="B75" s="278"/>
      <c r="C75" s="278"/>
      <c r="D75" s="278"/>
      <c r="E75" s="278"/>
      <c r="F75" s="278"/>
      <c r="G75" s="278"/>
      <c r="H75" s="278"/>
      <c r="I75"/>
    </row>
    <row r="76" spans="1:9" s="3" customFormat="1" ht="28.35" customHeight="1" x14ac:dyDescent="0.25">
      <c r="A76" s="131" t="s">
        <v>51</v>
      </c>
      <c r="B76" s="131" t="s">
        <v>52</v>
      </c>
      <c r="C76" s="131" t="s">
        <v>53</v>
      </c>
      <c r="D76" s="131" t="s">
        <v>54</v>
      </c>
      <c r="E76" s="131" t="s">
        <v>55</v>
      </c>
      <c r="F76" s="131" t="s">
        <v>56</v>
      </c>
      <c r="G76" s="131" t="s">
        <v>57</v>
      </c>
      <c r="H76" s="132" t="s">
        <v>20</v>
      </c>
    </row>
    <row r="77" spans="1:9" x14ac:dyDescent="0.25">
      <c r="A77" s="75"/>
      <c r="B77" s="75"/>
      <c r="C77" s="77"/>
      <c r="D77" s="78"/>
      <c r="E77" s="79"/>
      <c r="F77" s="79"/>
      <c r="G77" s="53" t="e" cm="1">
        <f t="array" ref="G77">_xlfn.IFS(RentalAssistance1968737883889398103108113118125130135140145150155160539823[[#This Row],[Unit]]="Program-wide",((_xlfn.IFS(RentalAssistance1968737883889398103108113118125130135140145150155160539823[[#This Row],[Frequency]]="Per Year",RentalAssistance1968737883889398103108113118125130135140145150155160539823[[#This Row],[Cost]]/12,RentalAssistance1968737883889398103108113118125130135140145150155160539823[[#This Row],[Frequency]]="Per month",RentalAssistance1968737883889398103108113118125130135140145150155160539823[[#This Row],[Cost]],RentalAssistance1968737883889398103108113118125130135140145150155160539823[[#This Row],[Frequency]]="Per day",RentalAssistance1968737883889398103108113118125130135140145150155160539823[[#This Row],[Cost]]*30,RentalAssistance1968737883889398103108113118125130135140145150155160539823[[#This Row],[Frequency]]="One-time",RentalAssistance1968737883889398103108113118125130135140145150155160539823[[#This Row],[Cost]]/SUM($C$18,$C$19)))/$C$17),RentalAssistance1968737883889398103108113118125130135140145150155160539823[[#This Row],[Unit]]="Per unit/space/household",(_xlfn.IFS(RentalAssistance1968737883889398103108113118125130135140145150155160539823[[#This Row],[Frequency]]="Per Year",RentalAssistance1968737883889398103108113118125130135140145150155160539823[[#This Row],[Cost]]/12,RentalAssistance1968737883889398103108113118125130135140145150155160539823[[#This Row],[Frequency]]="Per month",RentalAssistance1968737883889398103108113118125130135140145150155160539823[[#This Row],[Cost]],RentalAssistance1968737883889398103108113118125130135140145150155160539823[[#This Row],[Frequency]]="Per day",RentalAssistance1968737883889398103108113118125130135140145150155160539823[[#This Row],[Cost]]*30,RentalAssistance1968737883889398103108113118125130135140145150155160539823[[#This Row],[Frequency]]="One-time",RentalAssistance1968737883889398103108113118125130135140145150155160539823[[#This Row],[Cost]]/SUM($C$18,$C$19))))</f>
        <v>#N/A</v>
      </c>
      <c r="H77" s="46" t="e">
        <f>RentalAssistance1968737883889398103108113118125130135140145150155160539823[[#This Row],[Monthly Cost Per Unit]]*12</f>
        <v>#N/A</v>
      </c>
    </row>
    <row r="78" spans="1:9" x14ac:dyDescent="0.25">
      <c r="A78" s="75"/>
      <c r="B78" s="75"/>
      <c r="C78" s="77"/>
      <c r="D78" s="78"/>
      <c r="E78" s="79"/>
      <c r="F78" s="79"/>
      <c r="G78" s="53" t="e" cm="1">
        <f t="array" ref="G78">_xlfn.IFS(RentalAssistance1968737883889398103108113118125130135140145150155160539823[[#This Row],[Unit]]="Program-wide",((_xlfn.IFS(RentalAssistance1968737883889398103108113118125130135140145150155160539823[[#This Row],[Frequency]]="Per Year",RentalAssistance1968737883889398103108113118125130135140145150155160539823[[#This Row],[Cost]]/12,RentalAssistance1968737883889398103108113118125130135140145150155160539823[[#This Row],[Frequency]]="Per month",RentalAssistance1968737883889398103108113118125130135140145150155160539823[[#This Row],[Cost]],RentalAssistance1968737883889398103108113118125130135140145150155160539823[[#This Row],[Frequency]]="Per day",RentalAssistance1968737883889398103108113118125130135140145150155160539823[[#This Row],[Cost]]*30,RentalAssistance1968737883889398103108113118125130135140145150155160539823[[#This Row],[Frequency]]="One-time",RentalAssistance1968737883889398103108113118125130135140145150155160539823[[#This Row],[Cost]]/SUM($C$18,$C$19)))/$C$17),RentalAssistance1968737883889398103108113118125130135140145150155160539823[[#This Row],[Unit]]="Per unit/space/household",(_xlfn.IFS(RentalAssistance1968737883889398103108113118125130135140145150155160539823[[#This Row],[Frequency]]="Per Year",RentalAssistance1968737883889398103108113118125130135140145150155160539823[[#This Row],[Cost]]/12,RentalAssistance1968737883889398103108113118125130135140145150155160539823[[#This Row],[Frequency]]="Per month",RentalAssistance1968737883889398103108113118125130135140145150155160539823[[#This Row],[Cost]],RentalAssistance1968737883889398103108113118125130135140145150155160539823[[#This Row],[Frequency]]="Per day",RentalAssistance1968737883889398103108113118125130135140145150155160539823[[#This Row],[Cost]]*30,RentalAssistance1968737883889398103108113118125130135140145150155160539823[[#This Row],[Frequency]]="One-time",RentalAssistance1968737883889398103108113118125130135140145150155160539823[[#This Row],[Cost]]/SUM($C$18,$C$19))))</f>
        <v>#N/A</v>
      </c>
      <c r="H78" s="46" t="e">
        <f>RentalAssistance1968737883889398103108113118125130135140145150155160539823[[#This Row],[Monthly Cost Per Unit]]*12</f>
        <v>#N/A</v>
      </c>
    </row>
    <row r="79" spans="1:9" x14ac:dyDescent="0.25">
      <c r="A79" s="75"/>
      <c r="B79" s="75"/>
      <c r="C79" s="77"/>
      <c r="D79" s="78"/>
      <c r="E79" s="79"/>
      <c r="F79" s="79"/>
      <c r="G79" s="53" t="e" cm="1">
        <f t="array" ref="G79">_xlfn.IFS(RentalAssistance1968737883889398103108113118125130135140145150155160539823[[#This Row],[Unit]]="Program-wide",((_xlfn.IFS(RentalAssistance1968737883889398103108113118125130135140145150155160539823[[#This Row],[Frequency]]="Per Year",RentalAssistance1968737883889398103108113118125130135140145150155160539823[[#This Row],[Cost]]/12,RentalAssistance1968737883889398103108113118125130135140145150155160539823[[#This Row],[Frequency]]="Per month",RentalAssistance1968737883889398103108113118125130135140145150155160539823[[#This Row],[Cost]],RentalAssistance1968737883889398103108113118125130135140145150155160539823[[#This Row],[Frequency]]="Per day",RentalAssistance1968737883889398103108113118125130135140145150155160539823[[#This Row],[Cost]]*30,RentalAssistance1968737883889398103108113118125130135140145150155160539823[[#This Row],[Frequency]]="One-time",RentalAssistance1968737883889398103108113118125130135140145150155160539823[[#This Row],[Cost]]/SUM($C$18,$C$19)))/$C$17),RentalAssistance1968737883889398103108113118125130135140145150155160539823[[#This Row],[Unit]]="Per unit/space/household",(_xlfn.IFS(RentalAssistance1968737883889398103108113118125130135140145150155160539823[[#This Row],[Frequency]]="Per Year",RentalAssistance1968737883889398103108113118125130135140145150155160539823[[#This Row],[Cost]]/12,RentalAssistance1968737883889398103108113118125130135140145150155160539823[[#This Row],[Frequency]]="Per month",RentalAssistance1968737883889398103108113118125130135140145150155160539823[[#This Row],[Cost]],RentalAssistance1968737883889398103108113118125130135140145150155160539823[[#This Row],[Frequency]]="Per day",RentalAssistance1968737883889398103108113118125130135140145150155160539823[[#This Row],[Cost]]*30,RentalAssistance1968737883889398103108113118125130135140145150155160539823[[#This Row],[Frequency]]="One-time",RentalAssistance1968737883889398103108113118125130135140145150155160539823[[#This Row],[Cost]]/SUM($C$18,$C$19))))</f>
        <v>#N/A</v>
      </c>
      <c r="H79" s="46" t="e">
        <f>RentalAssistance1968737883889398103108113118125130135140145150155160539823[[#This Row],[Monthly Cost Per Unit]]*12</f>
        <v>#N/A</v>
      </c>
    </row>
    <row r="80" spans="1:9" x14ac:dyDescent="0.25">
      <c r="A80" s="75"/>
      <c r="B80" s="75"/>
      <c r="C80" s="77"/>
      <c r="D80" s="78"/>
      <c r="E80" s="79"/>
      <c r="F80" s="79"/>
      <c r="G80" s="53" t="e" cm="1">
        <f t="array" ref="G80">_xlfn.IFS(RentalAssistance1968737883889398103108113118125130135140145150155160539823[[#This Row],[Unit]]="Program-wide",((_xlfn.IFS(RentalAssistance1968737883889398103108113118125130135140145150155160539823[[#This Row],[Frequency]]="Per Year",RentalAssistance1968737883889398103108113118125130135140145150155160539823[[#This Row],[Cost]]/12,RentalAssistance1968737883889398103108113118125130135140145150155160539823[[#This Row],[Frequency]]="Per month",RentalAssistance1968737883889398103108113118125130135140145150155160539823[[#This Row],[Cost]],RentalAssistance1968737883889398103108113118125130135140145150155160539823[[#This Row],[Frequency]]="Per day",RentalAssistance1968737883889398103108113118125130135140145150155160539823[[#This Row],[Cost]]*30,RentalAssistance1968737883889398103108113118125130135140145150155160539823[[#This Row],[Frequency]]="One-time",RentalAssistance1968737883889398103108113118125130135140145150155160539823[[#This Row],[Cost]]/SUM($C$18,$C$19)))/$C$17),RentalAssistance1968737883889398103108113118125130135140145150155160539823[[#This Row],[Unit]]="Per unit/space/household",(_xlfn.IFS(RentalAssistance1968737883889398103108113118125130135140145150155160539823[[#This Row],[Frequency]]="Per Year",RentalAssistance1968737883889398103108113118125130135140145150155160539823[[#This Row],[Cost]]/12,RentalAssistance1968737883889398103108113118125130135140145150155160539823[[#This Row],[Frequency]]="Per month",RentalAssistance1968737883889398103108113118125130135140145150155160539823[[#This Row],[Cost]],RentalAssistance1968737883889398103108113118125130135140145150155160539823[[#This Row],[Frequency]]="Per day",RentalAssistance1968737883889398103108113118125130135140145150155160539823[[#This Row],[Cost]]*30,RentalAssistance1968737883889398103108113118125130135140145150155160539823[[#This Row],[Frequency]]="One-time",RentalAssistance1968737883889398103108113118125130135140145150155160539823[[#This Row],[Cost]]/SUM($C$18,$C$19))))</f>
        <v>#N/A</v>
      </c>
      <c r="H80" s="46" t="e">
        <f>RentalAssistance1968737883889398103108113118125130135140145150155160539823[[#This Row],[Monthly Cost Per Unit]]*12</f>
        <v>#N/A</v>
      </c>
    </row>
    <row r="81" spans="1:8" x14ac:dyDescent="0.25">
      <c r="A81" s="75"/>
      <c r="B81" s="75"/>
      <c r="C81" s="77"/>
      <c r="D81" s="78"/>
      <c r="E81" s="79"/>
      <c r="F81" s="79"/>
      <c r="G81" s="53" t="e" cm="1">
        <f t="array" ref="G81">_xlfn.IFS(RentalAssistance1968737883889398103108113118125130135140145150155160539823[[#This Row],[Unit]]="Program-wide",((_xlfn.IFS(RentalAssistance1968737883889398103108113118125130135140145150155160539823[[#This Row],[Frequency]]="Per Year",RentalAssistance1968737883889398103108113118125130135140145150155160539823[[#This Row],[Cost]]/12,RentalAssistance1968737883889398103108113118125130135140145150155160539823[[#This Row],[Frequency]]="Per month",RentalAssistance1968737883889398103108113118125130135140145150155160539823[[#This Row],[Cost]],RentalAssistance1968737883889398103108113118125130135140145150155160539823[[#This Row],[Frequency]]="Per day",RentalAssistance1968737883889398103108113118125130135140145150155160539823[[#This Row],[Cost]]*30,RentalAssistance1968737883889398103108113118125130135140145150155160539823[[#This Row],[Frequency]]="One-time",RentalAssistance1968737883889398103108113118125130135140145150155160539823[[#This Row],[Cost]]/SUM($C$18,$C$19)))/$C$17),RentalAssistance1968737883889398103108113118125130135140145150155160539823[[#This Row],[Unit]]="Per unit/space/household",(_xlfn.IFS(RentalAssistance1968737883889398103108113118125130135140145150155160539823[[#This Row],[Frequency]]="Per Year",RentalAssistance1968737883889398103108113118125130135140145150155160539823[[#This Row],[Cost]]/12,RentalAssistance1968737883889398103108113118125130135140145150155160539823[[#This Row],[Frequency]]="Per month",RentalAssistance1968737883889398103108113118125130135140145150155160539823[[#This Row],[Cost]],RentalAssistance1968737883889398103108113118125130135140145150155160539823[[#This Row],[Frequency]]="Per day",RentalAssistance1968737883889398103108113118125130135140145150155160539823[[#This Row],[Cost]]*30,RentalAssistance1968737883889398103108113118125130135140145150155160539823[[#This Row],[Frequency]]="One-time",RentalAssistance1968737883889398103108113118125130135140145150155160539823[[#This Row],[Cost]]/SUM($C$18,$C$19))))</f>
        <v>#N/A</v>
      </c>
      <c r="H81" s="46" t="e">
        <f>RentalAssistance1968737883889398103108113118125130135140145150155160539823[[#This Row],[Monthly Cost Per Unit]]*12</f>
        <v>#N/A</v>
      </c>
    </row>
    <row r="82" spans="1:8" x14ac:dyDescent="0.25">
      <c r="A82" s="75"/>
      <c r="B82" s="75"/>
      <c r="C82" s="77"/>
      <c r="D82" s="78"/>
      <c r="E82" s="79"/>
      <c r="F82" s="79"/>
      <c r="G82" s="53" t="e" cm="1">
        <f t="array" ref="G82">_xlfn.IFS(RentalAssistance1968737883889398103108113118125130135140145150155160539823[[#This Row],[Unit]]="Program-wide",((_xlfn.IFS(RentalAssistance1968737883889398103108113118125130135140145150155160539823[[#This Row],[Frequency]]="Per Year",RentalAssistance1968737883889398103108113118125130135140145150155160539823[[#This Row],[Cost]]/12,RentalAssistance1968737883889398103108113118125130135140145150155160539823[[#This Row],[Frequency]]="Per month",RentalAssistance1968737883889398103108113118125130135140145150155160539823[[#This Row],[Cost]],RentalAssistance1968737883889398103108113118125130135140145150155160539823[[#This Row],[Frequency]]="Per day",RentalAssistance1968737883889398103108113118125130135140145150155160539823[[#This Row],[Cost]]*30,RentalAssistance1968737883889398103108113118125130135140145150155160539823[[#This Row],[Frequency]]="One-time",RentalAssistance1968737883889398103108113118125130135140145150155160539823[[#This Row],[Cost]]/SUM($C$18,$C$19)))/$C$17),RentalAssistance1968737883889398103108113118125130135140145150155160539823[[#This Row],[Unit]]="Per unit/space/household",(_xlfn.IFS(RentalAssistance1968737883889398103108113118125130135140145150155160539823[[#This Row],[Frequency]]="Per Year",RentalAssistance1968737883889398103108113118125130135140145150155160539823[[#This Row],[Cost]]/12,RentalAssistance1968737883889398103108113118125130135140145150155160539823[[#This Row],[Frequency]]="Per month",RentalAssistance1968737883889398103108113118125130135140145150155160539823[[#This Row],[Cost]],RentalAssistance1968737883889398103108113118125130135140145150155160539823[[#This Row],[Frequency]]="Per day",RentalAssistance1968737883889398103108113118125130135140145150155160539823[[#This Row],[Cost]]*30,RentalAssistance1968737883889398103108113118125130135140145150155160539823[[#This Row],[Frequency]]="One-time",RentalAssistance1968737883889398103108113118125130135140145150155160539823[[#This Row],[Cost]]/SUM($C$18,$C$19))))</f>
        <v>#N/A</v>
      </c>
      <c r="H82" s="46" t="e">
        <f>RentalAssistance1968737883889398103108113118125130135140145150155160539823[[#This Row],[Monthly Cost Per Unit]]*12</f>
        <v>#N/A</v>
      </c>
    </row>
    <row r="83" spans="1:8" x14ac:dyDescent="0.25">
      <c r="A83" s="75"/>
      <c r="B83" s="75"/>
      <c r="C83" s="77"/>
      <c r="D83" s="78"/>
      <c r="E83" s="79"/>
      <c r="F83" s="79"/>
      <c r="G83" s="53" t="e" cm="1">
        <f t="array" ref="G83">_xlfn.IFS(RentalAssistance1968737883889398103108113118125130135140145150155160539823[[#This Row],[Unit]]="Program-wide",((_xlfn.IFS(RentalAssistance1968737883889398103108113118125130135140145150155160539823[[#This Row],[Frequency]]="Per Year",RentalAssistance1968737883889398103108113118125130135140145150155160539823[[#This Row],[Cost]]/12,RentalAssistance1968737883889398103108113118125130135140145150155160539823[[#This Row],[Frequency]]="Per month",RentalAssistance1968737883889398103108113118125130135140145150155160539823[[#This Row],[Cost]],RentalAssistance1968737883889398103108113118125130135140145150155160539823[[#This Row],[Frequency]]="Per day",RentalAssistance1968737883889398103108113118125130135140145150155160539823[[#This Row],[Cost]]*30,RentalAssistance1968737883889398103108113118125130135140145150155160539823[[#This Row],[Frequency]]="One-time",RentalAssistance1968737883889398103108113118125130135140145150155160539823[[#This Row],[Cost]]/SUM($C$18,$C$19)))/$C$17),RentalAssistance1968737883889398103108113118125130135140145150155160539823[[#This Row],[Unit]]="Per unit/space/household",(_xlfn.IFS(RentalAssistance1968737883889398103108113118125130135140145150155160539823[[#This Row],[Frequency]]="Per Year",RentalAssistance1968737883889398103108113118125130135140145150155160539823[[#This Row],[Cost]]/12,RentalAssistance1968737883889398103108113118125130135140145150155160539823[[#This Row],[Frequency]]="Per month",RentalAssistance1968737883889398103108113118125130135140145150155160539823[[#This Row],[Cost]],RentalAssistance1968737883889398103108113118125130135140145150155160539823[[#This Row],[Frequency]]="Per day",RentalAssistance1968737883889398103108113118125130135140145150155160539823[[#This Row],[Cost]]*30,RentalAssistance1968737883889398103108113118125130135140145150155160539823[[#This Row],[Frequency]]="One-time",RentalAssistance1968737883889398103108113118125130135140145150155160539823[[#This Row],[Cost]]/SUM($C$18,$C$19))))</f>
        <v>#N/A</v>
      </c>
      <c r="H83" s="46" t="e">
        <f>RentalAssistance1968737883889398103108113118125130135140145150155160539823[[#This Row],[Monthly Cost Per Unit]]*12</f>
        <v>#N/A</v>
      </c>
    </row>
    <row r="84" spans="1:8" x14ac:dyDescent="0.25">
      <c r="A84" s="75"/>
      <c r="B84" s="75"/>
      <c r="C84" s="77"/>
      <c r="D84" s="78"/>
      <c r="E84" s="79"/>
      <c r="F84" s="79"/>
      <c r="G84" s="53" t="e" cm="1">
        <f t="array" ref="G84">_xlfn.IFS(RentalAssistance1968737883889398103108113118125130135140145150155160539823[[#This Row],[Unit]]="Program-wide",((_xlfn.IFS(RentalAssistance1968737883889398103108113118125130135140145150155160539823[[#This Row],[Frequency]]="Per Year",RentalAssistance1968737883889398103108113118125130135140145150155160539823[[#This Row],[Cost]]/12,RentalAssistance1968737883889398103108113118125130135140145150155160539823[[#This Row],[Frequency]]="Per month",RentalAssistance1968737883889398103108113118125130135140145150155160539823[[#This Row],[Cost]],RentalAssistance1968737883889398103108113118125130135140145150155160539823[[#This Row],[Frequency]]="Per day",RentalAssistance1968737883889398103108113118125130135140145150155160539823[[#This Row],[Cost]]*30,RentalAssistance1968737883889398103108113118125130135140145150155160539823[[#This Row],[Frequency]]="One-time",RentalAssistance1968737883889398103108113118125130135140145150155160539823[[#This Row],[Cost]]/SUM($C$18,$C$19)))/$C$17),RentalAssistance1968737883889398103108113118125130135140145150155160539823[[#This Row],[Unit]]="Per unit/space/household",(_xlfn.IFS(RentalAssistance1968737883889398103108113118125130135140145150155160539823[[#This Row],[Frequency]]="Per Year",RentalAssistance1968737883889398103108113118125130135140145150155160539823[[#This Row],[Cost]]/12,RentalAssistance1968737883889398103108113118125130135140145150155160539823[[#This Row],[Frequency]]="Per month",RentalAssistance1968737883889398103108113118125130135140145150155160539823[[#This Row],[Cost]],RentalAssistance1968737883889398103108113118125130135140145150155160539823[[#This Row],[Frequency]]="Per day",RentalAssistance1968737883889398103108113118125130135140145150155160539823[[#This Row],[Cost]]*30,RentalAssistance1968737883889398103108113118125130135140145150155160539823[[#This Row],[Frequency]]="One-time",RentalAssistance1968737883889398103108113118125130135140145150155160539823[[#This Row],[Cost]]/SUM($C$18,$C$19))))</f>
        <v>#N/A</v>
      </c>
      <c r="H84" s="46" t="e">
        <f>RentalAssistance1968737883889398103108113118125130135140145150155160539823[[#This Row],[Monthly Cost Per Unit]]*12</f>
        <v>#N/A</v>
      </c>
    </row>
    <row r="85" spans="1:8" x14ac:dyDescent="0.25">
      <c r="A85" s="80"/>
      <c r="B85" s="80"/>
      <c r="C85" s="82"/>
      <c r="D85" s="83"/>
      <c r="E85" s="84"/>
      <c r="F85" s="84"/>
      <c r="G85" s="55" t="e" cm="1">
        <f t="array" ref="G85">_xlfn.IFS(RentalAssistance1968737883889398103108113118125130135140145150155160539823[[#This Row],[Unit]]="Program-wide",((_xlfn.IFS(RentalAssistance1968737883889398103108113118125130135140145150155160539823[[#This Row],[Frequency]]="Per Year",RentalAssistance1968737883889398103108113118125130135140145150155160539823[[#This Row],[Cost]]/12,RentalAssistance1968737883889398103108113118125130135140145150155160539823[[#This Row],[Frequency]]="Per month",RentalAssistance1968737883889398103108113118125130135140145150155160539823[[#This Row],[Cost]],RentalAssistance1968737883889398103108113118125130135140145150155160539823[[#This Row],[Frequency]]="Per day",RentalAssistance1968737883889398103108113118125130135140145150155160539823[[#This Row],[Cost]]*30,RentalAssistance1968737883889398103108113118125130135140145150155160539823[[#This Row],[Frequency]]="One-time",RentalAssistance1968737883889398103108113118125130135140145150155160539823[[#This Row],[Cost]]/SUM($C$18,$C$19)))/$C$17),RentalAssistance1968737883889398103108113118125130135140145150155160539823[[#This Row],[Unit]]="Per unit/space/household",(_xlfn.IFS(RentalAssistance1968737883889398103108113118125130135140145150155160539823[[#This Row],[Frequency]]="Per Year",RentalAssistance1968737883889398103108113118125130135140145150155160539823[[#This Row],[Cost]]/12,RentalAssistance1968737883889398103108113118125130135140145150155160539823[[#This Row],[Frequency]]="Per month",RentalAssistance1968737883889398103108113118125130135140145150155160539823[[#This Row],[Cost]],RentalAssistance1968737883889398103108113118125130135140145150155160539823[[#This Row],[Frequency]]="Per day",RentalAssistance1968737883889398103108113118125130135140145150155160539823[[#This Row],[Cost]]*30,RentalAssistance1968737883889398103108113118125130135140145150155160539823[[#This Row],[Frequency]]="One-time",RentalAssistance1968737883889398103108113118125130135140145150155160539823[[#This Row],[Cost]]/SUM($C$18,$C$19))))</f>
        <v>#N/A</v>
      </c>
      <c r="H85" s="46" t="e">
        <f>RentalAssistance1968737883889398103108113118125130135140145150155160539823[[#This Row],[Monthly Cost Per Unit]]*12</f>
        <v>#N/A</v>
      </c>
    </row>
    <row r="86" spans="1:8" x14ac:dyDescent="0.25">
      <c r="A86" s="107" t="s">
        <v>20</v>
      </c>
      <c r="B86" s="107"/>
      <c r="C86" s="108" t="s">
        <v>68</v>
      </c>
      <c r="D86" s="109"/>
      <c r="E86" s="108"/>
      <c r="F86" s="108"/>
      <c r="G86" s="118"/>
      <c r="H86" s="111">
        <f>(SUMIF(RentalAssistance1968737883889398103108113118125130135140145150155160539823[Duration],"While homeless only",RentalAssistance1968737883889398103108113118125130135140145150155160539823[Monthly Cost Per Unit]))*12</f>
        <v>0</v>
      </c>
    </row>
    <row r="87" spans="1:8" x14ac:dyDescent="0.25">
      <c r="A87" s="112"/>
      <c r="B87" s="112"/>
      <c r="C87" s="108" t="s">
        <v>63</v>
      </c>
      <c r="D87" s="109"/>
      <c r="E87" s="108"/>
      <c r="F87" s="108"/>
      <c r="G87" s="111"/>
      <c r="H87" s="111">
        <f>(SUMIF(RentalAssistance1968737883889398103108113118125130135140145150155160539823[Duration],"While housed only",RentalAssistance1968737883889398103108113118125130135140145150155160539823[Monthly Cost Per Unit]))*12</f>
        <v>0</v>
      </c>
    </row>
    <row r="88" spans="1:8" x14ac:dyDescent="0.25">
      <c r="A88" s="112"/>
      <c r="B88" s="112"/>
      <c r="C88" s="108" t="s">
        <v>58</v>
      </c>
      <c r="D88" s="109"/>
      <c r="E88" s="108"/>
      <c r="F88" s="108"/>
      <c r="G88" s="111"/>
      <c r="H88" s="111">
        <f>(SUMIF(RentalAssistance1968737883889398103108113118125130135140145150155160539823[Duration],"Homeless &amp; housed",RentalAssistance1968737883889398103108113118125130135140145150155160539823[Monthly Cost Per Unit]))*12</f>
        <v>0</v>
      </c>
    </row>
    <row r="89" spans="1:8" ht="15.75" thickBot="1" x14ac:dyDescent="0.3">
      <c r="A89" s="113"/>
      <c r="B89" s="113"/>
      <c r="C89" s="114" t="s">
        <v>207</v>
      </c>
      <c r="D89" s="115"/>
      <c r="E89" s="114"/>
      <c r="F89" s="114"/>
      <c r="G89" s="117"/>
      <c r="H89" s="117">
        <f>(SUMIF(RentalAssistance1968737883889398103108113118125130135140145150155160539823[Duration],"N/A",RentalAssistance1968737883889398103108113118125130135140145150155160539823[Monthly Cost Per Unit]))*12</f>
        <v>0</v>
      </c>
    </row>
    <row r="90" spans="1:8" ht="16.5" thickTop="1" thickBot="1" x14ac:dyDescent="0.3">
      <c r="A90" s="113"/>
      <c r="B90" s="113"/>
      <c r="C90" s="114" t="s">
        <v>42</v>
      </c>
      <c r="D90" s="115"/>
      <c r="E90" s="114"/>
      <c r="F90" s="114"/>
      <c r="G90" s="117"/>
      <c r="H90" s="117">
        <f>SUM(H86:H89)</f>
        <v>0</v>
      </c>
    </row>
    <row r="91" spans="1:8" ht="15.75" thickTop="1" x14ac:dyDescent="0.25">
      <c r="A91" s="146"/>
      <c r="B91" s="137"/>
      <c r="C91" s="137"/>
      <c r="D91" s="137"/>
      <c r="E91" s="137"/>
      <c r="F91" s="138"/>
      <c r="G91"/>
      <c r="H91" s="128"/>
    </row>
    <row r="92" spans="1:8" x14ac:dyDescent="0.25">
      <c r="A92" s="274" t="s">
        <v>88</v>
      </c>
      <c r="B92" s="274"/>
      <c r="C92" s="274"/>
      <c r="D92" s="274"/>
      <c r="E92" s="274"/>
      <c r="F92" s="274"/>
      <c r="G92" s="274"/>
      <c r="H92" s="274"/>
    </row>
    <row r="93" spans="1:8" ht="32.25" customHeight="1" outlineLevel="1" x14ac:dyDescent="0.25">
      <c r="A93" s="294" t="s">
        <v>89</v>
      </c>
      <c r="B93" s="294"/>
      <c r="C93" s="294"/>
      <c r="D93" s="294"/>
      <c r="E93" s="294"/>
      <c r="F93" s="294"/>
      <c r="G93" s="294"/>
      <c r="H93" s="294"/>
    </row>
    <row r="94" spans="1:8" ht="30" x14ac:dyDescent="0.25">
      <c r="A94" s="131" t="s">
        <v>51</v>
      </c>
      <c r="B94" s="131" t="s">
        <v>52</v>
      </c>
      <c r="C94" s="131" t="s">
        <v>53</v>
      </c>
      <c r="D94" s="131" t="s">
        <v>54</v>
      </c>
      <c r="E94" s="131" t="s">
        <v>55</v>
      </c>
      <c r="F94" s="131" t="s">
        <v>56</v>
      </c>
      <c r="G94" s="131" t="s">
        <v>57</v>
      </c>
      <c r="H94" s="132" t="s">
        <v>20</v>
      </c>
    </row>
    <row r="95" spans="1:8" x14ac:dyDescent="0.25">
      <c r="A95" s="75"/>
      <c r="B95" s="75"/>
      <c r="C95" s="77"/>
      <c r="D95" s="78"/>
      <c r="E95" s="79"/>
      <c r="F95" s="76"/>
      <c r="G95" s="53" t="e" cm="1">
        <f t="array" ref="G95">_xlfn.IFS(Services11069747984899499104109114119126131136141146151156161549924[[#This Row],[Unit]]="Program-wide",((_xlfn.IFS(Services11069747984899499104109114119126131136141146151156161549924[[#This Row],[Frequency]]="Per Year",Services11069747984899499104109114119126131136141146151156161549924[[#This Row],[Cost]]/12,Services11069747984899499104109114119126131136141146151156161549924[[#This Row],[Frequency]]="Per month",Services11069747984899499104109114119126131136141146151156161549924[[#This Row],[Cost]],Services11069747984899499104109114119126131136141146151156161549924[[#This Row],[Frequency]]="Per day",Services11069747984899499104109114119126131136141146151156161549924[[#This Row],[Cost]]*30,Services11069747984899499104109114119126131136141146151156161549924[[#This Row],[Frequency]]="One-time",Services11069747984899499104109114119126131136141146151156161549924[[#This Row],[Cost]]/SUM($C$18,$C$19)))/$C$17),Services11069747984899499104109114119126131136141146151156161549924[[#This Row],[Unit]]="Per unit/space/household",(_xlfn.IFS(Services11069747984899499104109114119126131136141146151156161549924[[#This Row],[Frequency]]="Per Year",Services11069747984899499104109114119126131136141146151156161549924[[#This Row],[Cost]]/12,Services11069747984899499104109114119126131136141146151156161549924[[#This Row],[Frequency]]="Per month",Services11069747984899499104109114119126131136141146151156161549924[[#This Row],[Cost]],Services11069747984899499104109114119126131136141146151156161549924[[#This Row],[Frequency]]="Per day",Services11069747984899499104109114119126131136141146151156161549924[[#This Row],[Cost]]*30,Services11069747984899499104109114119126131136141146151156161549924[[#This Row],[Frequency]]="One-time",Services11069747984899499104109114119126131136141146151156161549924[[#This Row],[Cost]]/SUM($C$18,$C$19))))</f>
        <v>#N/A</v>
      </c>
      <c r="H95" s="46" t="e">
        <f>Services11069747984899499104109114119126131136141146151156161549924[[#This Row],[Monthly Cost Per Unit]]*12</f>
        <v>#N/A</v>
      </c>
    </row>
    <row r="96" spans="1:8" x14ac:dyDescent="0.25">
      <c r="A96" s="75"/>
      <c r="B96" s="75"/>
      <c r="C96" s="77"/>
      <c r="D96" s="78"/>
      <c r="E96" s="79"/>
      <c r="F96" s="76"/>
      <c r="G96" s="53" t="e" cm="1">
        <f t="array" ref="G96">_xlfn.IFS(Services11069747984899499104109114119126131136141146151156161549924[[#This Row],[Unit]]="Program-wide",((_xlfn.IFS(Services11069747984899499104109114119126131136141146151156161549924[[#This Row],[Frequency]]="Per Year",Services11069747984899499104109114119126131136141146151156161549924[[#This Row],[Cost]]/12,Services11069747984899499104109114119126131136141146151156161549924[[#This Row],[Frequency]]="Per month",Services11069747984899499104109114119126131136141146151156161549924[[#This Row],[Cost]],Services11069747984899499104109114119126131136141146151156161549924[[#This Row],[Frequency]]="Per day",Services11069747984899499104109114119126131136141146151156161549924[[#This Row],[Cost]]*30,Services11069747984899499104109114119126131136141146151156161549924[[#This Row],[Frequency]]="One-time",Services11069747984899499104109114119126131136141146151156161549924[[#This Row],[Cost]]/SUM($C$18,$C$19)))/$C$17),Services11069747984899499104109114119126131136141146151156161549924[[#This Row],[Unit]]="Per unit/space/household",(_xlfn.IFS(Services11069747984899499104109114119126131136141146151156161549924[[#This Row],[Frequency]]="Per Year",Services11069747984899499104109114119126131136141146151156161549924[[#This Row],[Cost]]/12,Services11069747984899499104109114119126131136141146151156161549924[[#This Row],[Frequency]]="Per month",Services11069747984899499104109114119126131136141146151156161549924[[#This Row],[Cost]],Services11069747984899499104109114119126131136141146151156161549924[[#This Row],[Frequency]]="Per day",Services11069747984899499104109114119126131136141146151156161549924[[#This Row],[Cost]]*30,Services11069747984899499104109114119126131136141146151156161549924[[#This Row],[Frequency]]="One-time",Services11069747984899499104109114119126131136141146151156161549924[[#This Row],[Cost]]/SUM($C$18,$C$19))))</f>
        <v>#N/A</v>
      </c>
      <c r="H96" s="46" t="e">
        <f>Services11069747984899499104109114119126131136141146151156161549924[[#This Row],[Monthly Cost Per Unit]]*12</f>
        <v>#N/A</v>
      </c>
    </row>
    <row r="97" spans="1:8" x14ac:dyDescent="0.25">
      <c r="A97" s="75"/>
      <c r="B97" s="75"/>
      <c r="C97" s="77"/>
      <c r="D97" s="78"/>
      <c r="E97" s="79"/>
      <c r="F97" s="76"/>
      <c r="G97" s="53" t="e" cm="1">
        <f t="array" ref="G97">_xlfn.IFS(Services11069747984899499104109114119126131136141146151156161549924[[#This Row],[Unit]]="Program-wide",((_xlfn.IFS(Services11069747984899499104109114119126131136141146151156161549924[[#This Row],[Frequency]]="Per Year",Services11069747984899499104109114119126131136141146151156161549924[[#This Row],[Cost]]/12,Services11069747984899499104109114119126131136141146151156161549924[[#This Row],[Frequency]]="Per month",Services11069747984899499104109114119126131136141146151156161549924[[#This Row],[Cost]],Services11069747984899499104109114119126131136141146151156161549924[[#This Row],[Frequency]]="Per day",Services11069747984899499104109114119126131136141146151156161549924[[#This Row],[Cost]]*30,Services11069747984899499104109114119126131136141146151156161549924[[#This Row],[Frequency]]="One-time",Services11069747984899499104109114119126131136141146151156161549924[[#This Row],[Cost]]/SUM($C$18,$C$19)))/$C$17),Services11069747984899499104109114119126131136141146151156161549924[[#This Row],[Unit]]="Per unit/space/household",(_xlfn.IFS(Services11069747984899499104109114119126131136141146151156161549924[[#This Row],[Frequency]]="Per Year",Services11069747984899499104109114119126131136141146151156161549924[[#This Row],[Cost]]/12,Services11069747984899499104109114119126131136141146151156161549924[[#This Row],[Frequency]]="Per month",Services11069747984899499104109114119126131136141146151156161549924[[#This Row],[Cost]],Services11069747984899499104109114119126131136141146151156161549924[[#This Row],[Frequency]]="Per day",Services11069747984899499104109114119126131136141146151156161549924[[#This Row],[Cost]]*30,Services11069747984899499104109114119126131136141146151156161549924[[#This Row],[Frequency]]="One-time",Services11069747984899499104109114119126131136141146151156161549924[[#This Row],[Cost]]/SUM($C$18,$C$19))))</f>
        <v>#N/A</v>
      </c>
      <c r="H97" s="46" t="e">
        <f>Services11069747984899499104109114119126131136141146151156161549924[[#This Row],[Monthly Cost Per Unit]]*12</f>
        <v>#N/A</v>
      </c>
    </row>
    <row r="98" spans="1:8" x14ac:dyDescent="0.25">
      <c r="A98" s="75"/>
      <c r="B98" s="75"/>
      <c r="C98" s="77"/>
      <c r="D98" s="78"/>
      <c r="E98" s="79"/>
      <c r="F98" s="76"/>
      <c r="G98" s="53" t="e" cm="1">
        <f t="array" ref="G98">_xlfn.IFS(Services11069747984899499104109114119126131136141146151156161549924[[#This Row],[Unit]]="Program-wide",((_xlfn.IFS(Services11069747984899499104109114119126131136141146151156161549924[[#This Row],[Frequency]]="Per Year",Services11069747984899499104109114119126131136141146151156161549924[[#This Row],[Cost]]/12,Services11069747984899499104109114119126131136141146151156161549924[[#This Row],[Frequency]]="Per month",Services11069747984899499104109114119126131136141146151156161549924[[#This Row],[Cost]],Services11069747984899499104109114119126131136141146151156161549924[[#This Row],[Frequency]]="Per day",Services11069747984899499104109114119126131136141146151156161549924[[#This Row],[Cost]]*30,Services11069747984899499104109114119126131136141146151156161549924[[#This Row],[Frequency]]="One-time",Services11069747984899499104109114119126131136141146151156161549924[[#This Row],[Cost]]/SUM($C$18,$C$19)))/$C$17),Services11069747984899499104109114119126131136141146151156161549924[[#This Row],[Unit]]="Per unit/space/household",(_xlfn.IFS(Services11069747984899499104109114119126131136141146151156161549924[[#This Row],[Frequency]]="Per Year",Services11069747984899499104109114119126131136141146151156161549924[[#This Row],[Cost]]/12,Services11069747984899499104109114119126131136141146151156161549924[[#This Row],[Frequency]]="Per month",Services11069747984899499104109114119126131136141146151156161549924[[#This Row],[Cost]],Services11069747984899499104109114119126131136141146151156161549924[[#This Row],[Frequency]]="Per day",Services11069747984899499104109114119126131136141146151156161549924[[#This Row],[Cost]]*30,Services11069747984899499104109114119126131136141146151156161549924[[#This Row],[Frequency]]="One-time",Services11069747984899499104109114119126131136141146151156161549924[[#This Row],[Cost]]/SUM($C$18,$C$19))))</f>
        <v>#N/A</v>
      </c>
      <c r="H98" s="46" t="e">
        <f>Services11069747984899499104109114119126131136141146151156161549924[[#This Row],[Monthly Cost Per Unit]]*12</f>
        <v>#N/A</v>
      </c>
    </row>
    <row r="99" spans="1:8" x14ac:dyDescent="0.25">
      <c r="A99" s="75"/>
      <c r="B99" s="75"/>
      <c r="C99" s="77"/>
      <c r="D99" s="78"/>
      <c r="E99" s="79"/>
      <c r="F99" s="76"/>
      <c r="G99" s="53" t="e" cm="1">
        <f t="array" ref="G99">_xlfn.IFS(Services11069747984899499104109114119126131136141146151156161549924[[#This Row],[Unit]]="Program-wide",((_xlfn.IFS(Services11069747984899499104109114119126131136141146151156161549924[[#This Row],[Frequency]]="Per Year",Services11069747984899499104109114119126131136141146151156161549924[[#This Row],[Cost]]/12,Services11069747984899499104109114119126131136141146151156161549924[[#This Row],[Frequency]]="Per month",Services11069747984899499104109114119126131136141146151156161549924[[#This Row],[Cost]],Services11069747984899499104109114119126131136141146151156161549924[[#This Row],[Frequency]]="Per day",Services11069747984899499104109114119126131136141146151156161549924[[#This Row],[Cost]]*30,Services11069747984899499104109114119126131136141146151156161549924[[#This Row],[Frequency]]="One-time",Services11069747984899499104109114119126131136141146151156161549924[[#This Row],[Cost]]/SUM($C$18,$C$19)))/$C$17),Services11069747984899499104109114119126131136141146151156161549924[[#This Row],[Unit]]="Per unit/space/household",(_xlfn.IFS(Services11069747984899499104109114119126131136141146151156161549924[[#This Row],[Frequency]]="Per Year",Services11069747984899499104109114119126131136141146151156161549924[[#This Row],[Cost]]/12,Services11069747984899499104109114119126131136141146151156161549924[[#This Row],[Frequency]]="Per month",Services11069747984899499104109114119126131136141146151156161549924[[#This Row],[Cost]],Services11069747984899499104109114119126131136141146151156161549924[[#This Row],[Frequency]]="Per day",Services11069747984899499104109114119126131136141146151156161549924[[#This Row],[Cost]]*30,Services11069747984899499104109114119126131136141146151156161549924[[#This Row],[Frequency]]="One-time",Services11069747984899499104109114119126131136141146151156161549924[[#This Row],[Cost]]/SUM($C$18,$C$19))))</f>
        <v>#N/A</v>
      </c>
      <c r="H99" s="46" t="e">
        <f>Services11069747984899499104109114119126131136141146151156161549924[[#This Row],[Monthly Cost Per Unit]]*12</f>
        <v>#N/A</v>
      </c>
    </row>
    <row r="100" spans="1:8" x14ac:dyDescent="0.25">
      <c r="A100" s="75"/>
      <c r="B100" s="75"/>
      <c r="C100" s="77"/>
      <c r="D100" s="78"/>
      <c r="E100" s="79"/>
      <c r="F100" s="76"/>
      <c r="G100" s="53" t="e" cm="1">
        <f t="array" ref="G100">_xlfn.IFS(Services11069747984899499104109114119126131136141146151156161549924[[#This Row],[Unit]]="Program-wide",((_xlfn.IFS(Services11069747984899499104109114119126131136141146151156161549924[[#This Row],[Frequency]]="Per Year",Services11069747984899499104109114119126131136141146151156161549924[[#This Row],[Cost]]/12,Services11069747984899499104109114119126131136141146151156161549924[[#This Row],[Frequency]]="Per month",Services11069747984899499104109114119126131136141146151156161549924[[#This Row],[Cost]],Services11069747984899499104109114119126131136141146151156161549924[[#This Row],[Frequency]]="Per day",Services11069747984899499104109114119126131136141146151156161549924[[#This Row],[Cost]]*30,Services11069747984899499104109114119126131136141146151156161549924[[#This Row],[Frequency]]="One-time",Services11069747984899499104109114119126131136141146151156161549924[[#This Row],[Cost]]/SUM($C$18,$C$19)))/$C$17),Services11069747984899499104109114119126131136141146151156161549924[[#This Row],[Unit]]="Per unit/space/household",(_xlfn.IFS(Services11069747984899499104109114119126131136141146151156161549924[[#This Row],[Frequency]]="Per Year",Services11069747984899499104109114119126131136141146151156161549924[[#This Row],[Cost]]/12,Services11069747984899499104109114119126131136141146151156161549924[[#This Row],[Frequency]]="Per month",Services11069747984899499104109114119126131136141146151156161549924[[#This Row],[Cost]],Services11069747984899499104109114119126131136141146151156161549924[[#This Row],[Frequency]]="Per day",Services11069747984899499104109114119126131136141146151156161549924[[#This Row],[Cost]]*30,Services11069747984899499104109114119126131136141146151156161549924[[#This Row],[Frequency]]="One-time",Services11069747984899499104109114119126131136141146151156161549924[[#This Row],[Cost]]/SUM($C$18,$C$19))))</f>
        <v>#N/A</v>
      </c>
      <c r="H100" s="46" t="e">
        <f>Services11069747984899499104109114119126131136141146151156161549924[[#This Row],[Monthly Cost Per Unit]]*12</f>
        <v>#N/A</v>
      </c>
    </row>
    <row r="101" spans="1:8" x14ac:dyDescent="0.25">
      <c r="A101" s="75"/>
      <c r="B101" s="75"/>
      <c r="C101" s="77"/>
      <c r="D101" s="78"/>
      <c r="E101" s="79"/>
      <c r="F101" s="76"/>
      <c r="G101" s="53" t="e" cm="1">
        <f t="array" ref="G101">_xlfn.IFS(Services11069747984899499104109114119126131136141146151156161549924[[#This Row],[Unit]]="Program-wide",((_xlfn.IFS(Services11069747984899499104109114119126131136141146151156161549924[[#This Row],[Frequency]]="Per Year",Services11069747984899499104109114119126131136141146151156161549924[[#This Row],[Cost]]/12,Services11069747984899499104109114119126131136141146151156161549924[[#This Row],[Frequency]]="Per month",Services11069747984899499104109114119126131136141146151156161549924[[#This Row],[Cost]],Services11069747984899499104109114119126131136141146151156161549924[[#This Row],[Frequency]]="Per day",Services11069747984899499104109114119126131136141146151156161549924[[#This Row],[Cost]]*30,Services11069747984899499104109114119126131136141146151156161549924[[#This Row],[Frequency]]="One-time",Services11069747984899499104109114119126131136141146151156161549924[[#This Row],[Cost]]/SUM($C$18,$C$19)))/$C$17),Services11069747984899499104109114119126131136141146151156161549924[[#This Row],[Unit]]="Per unit/space/household",(_xlfn.IFS(Services11069747984899499104109114119126131136141146151156161549924[[#This Row],[Frequency]]="Per Year",Services11069747984899499104109114119126131136141146151156161549924[[#This Row],[Cost]]/12,Services11069747984899499104109114119126131136141146151156161549924[[#This Row],[Frequency]]="Per month",Services11069747984899499104109114119126131136141146151156161549924[[#This Row],[Cost]],Services11069747984899499104109114119126131136141146151156161549924[[#This Row],[Frequency]]="Per day",Services11069747984899499104109114119126131136141146151156161549924[[#This Row],[Cost]]*30,Services11069747984899499104109114119126131136141146151156161549924[[#This Row],[Frequency]]="One-time",Services11069747984899499104109114119126131136141146151156161549924[[#This Row],[Cost]]/SUM($C$18,$C$19))))</f>
        <v>#N/A</v>
      </c>
      <c r="H101" s="46" t="e">
        <f>Services11069747984899499104109114119126131136141146151156161549924[[#This Row],[Monthly Cost Per Unit]]*12</f>
        <v>#N/A</v>
      </c>
    </row>
    <row r="102" spans="1:8" x14ac:dyDescent="0.25">
      <c r="A102" s="75"/>
      <c r="B102" s="75"/>
      <c r="C102" s="77"/>
      <c r="D102" s="78"/>
      <c r="E102" s="79"/>
      <c r="F102" s="76"/>
      <c r="G102" s="53" t="e" cm="1">
        <f t="array" ref="G102">_xlfn.IFS(Services11069747984899499104109114119126131136141146151156161549924[[#This Row],[Unit]]="Program-wide",((_xlfn.IFS(Services11069747984899499104109114119126131136141146151156161549924[[#This Row],[Frequency]]="Per Year",Services11069747984899499104109114119126131136141146151156161549924[[#This Row],[Cost]]/12,Services11069747984899499104109114119126131136141146151156161549924[[#This Row],[Frequency]]="Per month",Services11069747984899499104109114119126131136141146151156161549924[[#This Row],[Cost]],Services11069747984899499104109114119126131136141146151156161549924[[#This Row],[Frequency]]="Per day",Services11069747984899499104109114119126131136141146151156161549924[[#This Row],[Cost]]*30,Services11069747984899499104109114119126131136141146151156161549924[[#This Row],[Frequency]]="One-time",Services11069747984899499104109114119126131136141146151156161549924[[#This Row],[Cost]]/SUM($C$18,$C$19)))/$C$17),Services11069747984899499104109114119126131136141146151156161549924[[#This Row],[Unit]]="Per unit/space/household",(_xlfn.IFS(Services11069747984899499104109114119126131136141146151156161549924[[#This Row],[Frequency]]="Per Year",Services11069747984899499104109114119126131136141146151156161549924[[#This Row],[Cost]]/12,Services11069747984899499104109114119126131136141146151156161549924[[#This Row],[Frequency]]="Per month",Services11069747984899499104109114119126131136141146151156161549924[[#This Row],[Cost]],Services11069747984899499104109114119126131136141146151156161549924[[#This Row],[Frequency]]="Per day",Services11069747984899499104109114119126131136141146151156161549924[[#This Row],[Cost]]*30,Services11069747984899499104109114119126131136141146151156161549924[[#This Row],[Frequency]]="One-time",Services11069747984899499104109114119126131136141146151156161549924[[#This Row],[Cost]]/SUM($C$18,$C$19))))</f>
        <v>#N/A</v>
      </c>
      <c r="H102" s="46" t="e">
        <f>Services11069747984899499104109114119126131136141146151156161549924[[#This Row],[Monthly Cost Per Unit]]*12</f>
        <v>#N/A</v>
      </c>
    </row>
    <row r="103" spans="1:8" x14ac:dyDescent="0.25">
      <c r="A103" s="75"/>
      <c r="B103" s="75"/>
      <c r="C103" s="77"/>
      <c r="D103" s="78"/>
      <c r="E103" s="79"/>
      <c r="F103" s="76"/>
      <c r="G103" s="53" t="e" cm="1">
        <f t="array" ref="G103">_xlfn.IFS(Services11069747984899499104109114119126131136141146151156161549924[[#This Row],[Unit]]="Program-wide",((_xlfn.IFS(Services11069747984899499104109114119126131136141146151156161549924[[#This Row],[Frequency]]="Per Year",Services11069747984899499104109114119126131136141146151156161549924[[#This Row],[Cost]]/12,Services11069747984899499104109114119126131136141146151156161549924[[#This Row],[Frequency]]="Per month",Services11069747984899499104109114119126131136141146151156161549924[[#This Row],[Cost]],Services11069747984899499104109114119126131136141146151156161549924[[#This Row],[Frequency]]="Per day",Services11069747984899499104109114119126131136141146151156161549924[[#This Row],[Cost]]*30,Services11069747984899499104109114119126131136141146151156161549924[[#This Row],[Frequency]]="One-time",Services11069747984899499104109114119126131136141146151156161549924[[#This Row],[Cost]]/SUM($C$18,$C$19)))/$C$17),Services11069747984899499104109114119126131136141146151156161549924[[#This Row],[Unit]]="Per unit/space/household",(_xlfn.IFS(Services11069747984899499104109114119126131136141146151156161549924[[#This Row],[Frequency]]="Per Year",Services11069747984899499104109114119126131136141146151156161549924[[#This Row],[Cost]]/12,Services11069747984899499104109114119126131136141146151156161549924[[#This Row],[Frequency]]="Per month",Services11069747984899499104109114119126131136141146151156161549924[[#This Row],[Cost]],Services11069747984899499104109114119126131136141146151156161549924[[#This Row],[Frequency]]="Per day",Services11069747984899499104109114119126131136141146151156161549924[[#This Row],[Cost]]*30,Services11069747984899499104109114119126131136141146151156161549924[[#This Row],[Frequency]]="One-time",Services11069747984899499104109114119126131136141146151156161549924[[#This Row],[Cost]]/SUM($C$18,$C$19))))</f>
        <v>#N/A</v>
      </c>
      <c r="H103" s="46" t="e">
        <f>Services11069747984899499104109114119126131136141146151156161549924[[#This Row],[Monthly Cost Per Unit]]*12</f>
        <v>#N/A</v>
      </c>
    </row>
    <row r="104" spans="1:8" x14ac:dyDescent="0.25">
      <c r="A104" s="75"/>
      <c r="B104" s="75"/>
      <c r="C104" s="77"/>
      <c r="D104" s="78"/>
      <c r="E104" s="79"/>
      <c r="F104" s="76"/>
      <c r="G104" s="53" t="e" cm="1">
        <f t="array" ref="G104">_xlfn.IFS(Services11069747984899499104109114119126131136141146151156161549924[[#This Row],[Unit]]="Program-wide",((_xlfn.IFS(Services11069747984899499104109114119126131136141146151156161549924[[#This Row],[Frequency]]="Per Year",Services11069747984899499104109114119126131136141146151156161549924[[#This Row],[Cost]]/12,Services11069747984899499104109114119126131136141146151156161549924[[#This Row],[Frequency]]="Per month",Services11069747984899499104109114119126131136141146151156161549924[[#This Row],[Cost]],Services11069747984899499104109114119126131136141146151156161549924[[#This Row],[Frequency]]="Per day",Services11069747984899499104109114119126131136141146151156161549924[[#This Row],[Cost]]*30,Services11069747984899499104109114119126131136141146151156161549924[[#This Row],[Frequency]]="One-time",Services11069747984899499104109114119126131136141146151156161549924[[#This Row],[Cost]]/SUM($C$18,$C$19)))/$C$17),Services11069747984899499104109114119126131136141146151156161549924[[#This Row],[Unit]]="Per unit/space/household",(_xlfn.IFS(Services11069747984899499104109114119126131136141146151156161549924[[#This Row],[Frequency]]="Per Year",Services11069747984899499104109114119126131136141146151156161549924[[#This Row],[Cost]]/12,Services11069747984899499104109114119126131136141146151156161549924[[#This Row],[Frequency]]="Per month",Services11069747984899499104109114119126131136141146151156161549924[[#This Row],[Cost]],Services11069747984899499104109114119126131136141146151156161549924[[#This Row],[Frequency]]="Per day",Services11069747984899499104109114119126131136141146151156161549924[[#This Row],[Cost]]*30,Services11069747984899499104109114119126131136141146151156161549924[[#This Row],[Frequency]]="One-time",Services11069747984899499104109114119126131136141146151156161549924[[#This Row],[Cost]]/SUM($C$18,$C$19))))</f>
        <v>#N/A</v>
      </c>
      <c r="H104" s="46" t="e">
        <f>Services11069747984899499104109114119126131136141146151156161549924[[#This Row],[Monthly Cost Per Unit]]*12</f>
        <v>#N/A</v>
      </c>
    </row>
    <row r="105" spans="1:8" x14ac:dyDescent="0.25">
      <c r="A105" s="75"/>
      <c r="B105" s="75"/>
      <c r="C105" s="77"/>
      <c r="D105" s="78"/>
      <c r="E105" s="79"/>
      <c r="F105" s="76"/>
      <c r="G105" s="53" t="e" cm="1">
        <f t="array" ref="G105">_xlfn.IFS(Services11069747984899499104109114119126131136141146151156161549924[[#This Row],[Unit]]="Program-wide",((_xlfn.IFS(Services11069747984899499104109114119126131136141146151156161549924[[#This Row],[Frequency]]="Per Year",Services11069747984899499104109114119126131136141146151156161549924[[#This Row],[Cost]]/12,Services11069747984899499104109114119126131136141146151156161549924[[#This Row],[Frequency]]="Per month",Services11069747984899499104109114119126131136141146151156161549924[[#This Row],[Cost]],Services11069747984899499104109114119126131136141146151156161549924[[#This Row],[Frequency]]="Per day",Services11069747984899499104109114119126131136141146151156161549924[[#This Row],[Cost]]*30,Services11069747984899499104109114119126131136141146151156161549924[[#This Row],[Frequency]]="One-time",Services11069747984899499104109114119126131136141146151156161549924[[#This Row],[Cost]]/SUM($C$18,$C$19)))/$C$17),Services11069747984899499104109114119126131136141146151156161549924[[#This Row],[Unit]]="Per unit/space/household",(_xlfn.IFS(Services11069747984899499104109114119126131136141146151156161549924[[#This Row],[Frequency]]="Per Year",Services11069747984899499104109114119126131136141146151156161549924[[#This Row],[Cost]]/12,Services11069747984899499104109114119126131136141146151156161549924[[#This Row],[Frequency]]="Per month",Services11069747984899499104109114119126131136141146151156161549924[[#This Row],[Cost]],Services11069747984899499104109114119126131136141146151156161549924[[#This Row],[Frequency]]="Per day",Services11069747984899499104109114119126131136141146151156161549924[[#This Row],[Cost]]*30,Services11069747984899499104109114119126131136141146151156161549924[[#This Row],[Frequency]]="One-time",Services11069747984899499104109114119126131136141146151156161549924[[#This Row],[Cost]]/SUM($C$18,$C$19))))</f>
        <v>#N/A</v>
      </c>
      <c r="H105" s="46" t="e">
        <f>Services11069747984899499104109114119126131136141146151156161549924[[#This Row],[Monthly Cost Per Unit]]*12</f>
        <v>#N/A</v>
      </c>
    </row>
    <row r="106" spans="1:8" x14ac:dyDescent="0.25">
      <c r="A106" s="75"/>
      <c r="B106" s="75"/>
      <c r="C106" s="77"/>
      <c r="D106" s="78"/>
      <c r="E106" s="79"/>
      <c r="F106" s="76"/>
      <c r="G106" s="53" t="e" cm="1">
        <f t="array" ref="G106">_xlfn.IFS(Services11069747984899499104109114119126131136141146151156161549924[[#This Row],[Unit]]="Program-wide",((_xlfn.IFS(Services11069747984899499104109114119126131136141146151156161549924[[#This Row],[Frequency]]="Per Year",Services11069747984899499104109114119126131136141146151156161549924[[#This Row],[Cost]]/12,Services11069747984899499104109114119126131136141146151156161549924[[#This Row],[Frequency]]="Per month",Services11069747984899499104109114119126131136141146151156161549924[[#This Row],[Cost]],Services11069747984899499104109114119126131136141146151156161549924[[#This Row],[Frequency]]="Per day",Services11069747984899499104109114119126131136141146151156161549924[[#This Row],[Cost]]*30,Services11069747984899499104109114119126131136141146151156161549924[[#This Row],[Frequency]]="One-time",Services11069747984899499104109114119126131136141146151156161549924[[#This Row],[Cost]]/SUM($C$18,$C$19)))/$C$17),Services11069747984899499104109114119126131136141146151156161549924[[#This Row],[Unit]]="Per unit/space/household",(_xlfn.IFS(Services11069747984899499104109114119126131136141146151156161549924[[#This Row],[Frequency]]="Per Year",Services11069747984899499104109114119126131136141146151156161549924[[#This Row],[Cost]]/12,Services11069747984899499104109114119126131136141146151156161549924[[#This Row],[Frequency]]="Per month",Services11069747984899499104109114119126131136141146151156161549924[[#This Row],[Cost]],Services11069747984899499104109114119126131136141146151156161549924[[#This Row],[Frequency]]="Per day",Services11069747984899499104109114119126131136141146151156161549924[[#This Row],[Cost]]*30,Services11069747984899499104109114119126131136141146151156161549924[[#This Row],[Frequency]]="One-time",Services11069747984899499104109114119126131136141146151156161549924[[#This Row],[Cost]]/SUM($C$18,$C$19))))</f>
        <v>#N/A</v>
      </c>
      <c r="H106" s="46" t="e">
        <f>Services11069747984899499104109114119126131136141146151156161549924[[#This Row],[Monthly Cost Per Unit]]*12</f>
        <v>#N/A</v>
      </c>
    </row>
    <row r="107" spans="1:8" x14ac:dyDescent="0.25">
      <c r="A107" s="80"/>
      <c r="B107" s="80"/>
      <c r="C107" s="82"/>
      <c r="D107" s="83"/>
      <c r="E107" s="84"/>
      <c r="F107" s="81"/>
      <c r="G107" s="55" t="e" cm="1">
        <f t="array" ref="G107">_xlfn.IFS(Services11069747984899499104109114119126131136141146151156161549924[[#This Row],[Unit]]="Program-wide",((_xlfn.IFS(Services11069747984899499104109114119126131136141146151156161549924[[#This Row],[Frequency]]="Per Year",Services11069747984899499104109114119126131136141146151156161549924[[#This Row],[Cost]]/12,Services11069747984899499104109114119126131136141146151156161549924[[#This Row],[Frequency]]="Per month",Services11069747984899499104109114119126131136141146151156161549924[[#This Row],[Cost]],Services11069747984899499104109114119126131136141146151156161549924[[#This Row],[Frequency]]="Per day",Services11069747984899499104109114119126131136141146151156161549924[[#This Row],[Cost]]*30,Services11069747984899499104109114119126131136141146151156161549924[[#This Row],[Frequency]]="One-time",Services11069747984899499104109114119126131136141146151156161549924[[#This Row],[Cost]]/SUM($C$18,$C$19)))/$C$17),Services11069747984899499104109114119126131136141146151156161549924[[#This Row],[Unit]]="Per unit/space/household",(_xlfn.IFS(Services11069747984899499104109114119126131136141146151156161549924[[#This Row],[Frequency]]="Per Year",Services11069747984899499104109114119126131136141146151156161549924[[#This Row],[Cost]]/12,Services11069747984899499104109114119126131136141146151156161549924[[#This Row],[Frequency]]="Per month",Services11069747984899499104109114119126131136141146151156161549924[[#This Row],[Cost]],Services11069747984899499104109114119126131136141146151156161549924[[#This Row],[Frequency]]="Per day",Services11069747984899499104109114119126131136141146151156161549924[[#This Row],[Cost]]*30,Services11069747984899499104109114119126131136141146151156161549924[[#This Row],[Frequency]]="One-time",Services11069747984899499104109114119126131136141146151156161549924[[#This Row],[Cost]]/SUM($C$18,$C$19))))</f>
        <v>#N/A</v>
      </c>
      <c r="H107" s="46" t="e">
        <f>Services11069747984899499104109114119126131136141146151156161549924[[#This Row],[Monthly Cost Per Unit]]*12</f>
        <v>#N/A</v>
      </c>
    </row>
    <row r="108" spans="1:8" x14ac:dyDescent="0.25">
      <c r="A108" s="107" t="s">
        <v>20</v>
      </c>
      <c r="B108" s="107"/>
      <c r="C108" s="108" t="s">
        <v>68</v>
      </c>
      <c r="D108" s="109"/>
      <c r="E108" s="108"/>
      <c r="F108" s="108"/>
      <c r="G108" s="118"/>
      <c r="H108" s="111">
        <f>(SUMIF(Services11069747984899499104109114119126131136141146151156161549924[Duration],"While homeless only",Services11069747984899499104109114119126131136141146151156161549924[Monthly Cost Per Unit]))*12</f>
        <v>0</v>
      </c>
    </row>
    <row r="109" spans="1:8" x14ac:dyDescent="0.25">
      <c r="A109" s="112"/>
      <c r="B109" s="112"/>
      <c r="C109" s="108" t="s">
        <v>63</v>
      </c>
      <c r="D109" s="109"/>
      <c r="E109" s="108"/>
      <c r="F109" s="108"/>
      <c r="G109" s="111"/>
      <c r="H109" s="111">
        <f>(SUMIF(Services11069747984899499104109114119126131136141146151156161549924[Duration],"While housed only",Services11069747984899499104109114119126131136141146151156161549924[Monthly Cost Per Unit]))*12</f>
        <v>0</v>
      </c>
    </row>
    <row r="110" spans="1:8" x14ac:dyDescent="0.25">
      <c r="A110" s="112"/>
      <c r="B110" s="112"/>
      <c r="C110" s="108" t="s">
        <v>58</v>
      </c>
      <c r="D110" s="109"/>
      <c r="E110" s="108"/>
      <c r="F110" s="108"/>
      <c r="G110" s="111"/>
      <c r="H110" s="111">
        <f>(SUMIF(Services11069747984899499104109114119126131136141146151156161549924[Duration],"Homeless &amp; housed",Services11069747984899499104109114119126131136141146151156161549924[Monthly Cost Per Unit]))*12</f>
        <v>0</v>
      </c>
    </row>
    <row r="111" spans="1:8" ht="15.75" thickBot="1" x14ac:dyDescent="0.3">
      <c r="A111" s="113"/>
      <c r="B111" s="113"/>
      <c r="C111" s="114" t="s">
        <v>207</v>
      </c>
      <c r="D111" s="115"/>
      <c r="E111" s="114"/>
      <c r="F111" s="114"/>
      <c r="G111" s="117"/>
      <c r="H111" s="117">
        <f>(SUMIF(Services11069747984899499104109114119126131136141146151156161549924[Duration],"N/A",Services11069747984899499104109114119126131136141146151156161549924[Monthly Cost Per Unit]))*12</f>
        <v>0</v>
      </c>
    </row>
    <row r="112" spans="1:8" ht="16.5" thickTop="1" thickBot="1" x14ac:dyDescent="0.3">
      <c r="A112" s="113"/>
      <c r="B112" s="113"/>
      <c r="C112" s="114" t="s">
        <v>42</v>
      </c>
      <c r="D112" s="115"/>
      <c r="E112" s="114"/>
      <c r="F112" s="114"/>
      <c r="G112" s="117"/>
      <c r="H112" s="117">
        <f>SUM(H108:H111)</f>
        <v>0</v>
      </c>
    </row>
    <row r="113" spans="1:9" ht="15.75" thickTop="1" x14ac:dyDescent="0.25">
      <c r="A113"/>
      <c r="F113"/>
      <c r="G113"/>
      <c r="H113" s="128"/>
    </row>
    <row r="114" spans="1:9" x14ac:dyDescent="0.25">
      <c r="A114" s="274" t="s">
        <v>90</v>
      </c>
      <c r="B114" s="274"/>
      <c r="C114" s="274"/>
      <c r="D114" s="274"/>
      <c r="E114" s="274"/>
      <c r="F114" s="274"/>
      <c r="G114" s="274"/>
      <c r="H114" s="274"/>
    </row>
    <row r="115" spans="1:9" ht="33" customHeight="1" outlineLevel="1" x14ac:dyDescent="0.25">
      <c r="A115" s="294" t="s">
        <v>91</v>
      </c>
      <c r="B115" s="294"/>
      <c r="C115" s="294"/>
      <c r="D115" s="294"/>
      <c r="E115" s="294"/>
      <c r="F115" s="294"/>
      <c r="G115" s="294"/>
      <c r="H115" s="294"/>
    </row>
    <row r="116" spans="1:9" s="3" customFormat="1" ht="28.35" customHeight="1" x14ac:dyDescent="0.25">
      <c r="A116" s="131" t="s">
        <v>51</v>
      </c>
      <c r="B116" s="131" t="s">
        <v>52</v>
      </c>
      <c r="C116" s="131" t="s">
        <v>53</v>
      </c>
      <c r="D116" s="131" t="s">
        <v>54</v>
      </c>
      <c r="E116" s="131" t="s">
        <v>55</v>
      </c>
      <c r="F116" s="131" t="s">
        <v>56</v>
      </c>
      <c r="G116" s="131" t="s">
        <v>57</v>
      </c>
      <c r="H116" s="132" t="s">
        <v>20</v>
      </c>
    </row>
    <row r="117" spans="1:9" x14ac:dyDescent="0.25">
      <c r="A117" s="75"/>
      <c r="B117" s="75"/>
      <c r="C117" s="77"/>
      <c r="D117" s="78"/>
      <c r="E117" s="79"/>
      <c r="F117" s="79"/>
      <c r="G117" s="53" t="e" cm="1">
        <f t="array" ref="G117">_xlfn.IFS(Other1117075808590951001051101151201271321371421471521571625510025[[#This Row],[Unit]]="Program-wide",((_xlfn.IFS(Other1117075808590951001051101151201271321371421471521571625510025[[#This Row],[Frequency]]="Per Year",Other1117075808590951001051101151201271321371421471521571625510025[[#This Row],[Cost]]/12,Other1117075808590951001051101151201271321371421471521571625510025[[#This Row],[Frequency]]="Per month",Other1117075808590951001051101151201271321371421471521571625510025[[#This Row],[Cost]],Other1117075808590951001051101151201271321371421471521571625510025[[#This Row],[Frequency]]="Per day",Other1117075808590951001051101151201271321371421471521571625510025[[#This Row],[Cost]]*30,Other1117075808590951001051101151201271321371421471521571625510025[[#This Row],[Frequency]]="One-time",Other1117075808590951001051101151201271321371421471521571625510025[[#This Row],[Cost]]/SUM($C$18,$C$19)))/$C$17),Other1117075808590951001051101151201271321371421471521571625510025[[#This Row],[Unit]]="Per unit/space/household",(_xlfn.IFS(Other1117075808590951001051101151201271321371421471521571625510025[[#This Row],[Frequency]]="Per Year",Other1117075808590951001051101151201271321371421471521571625510025[[#This Row],[Cost]]/12,Other1117075808590951001051101151201271321371421471521571625510025[[#This Row],[Frequency]]="Per month",Other1117075808590951001051101151201271321371421471521571625510025[[#This Row],[Cost]],Other1117075808590951001051101151201271321371421471521571625510025[[#This Row],[Frequency]]="Per day",Other1117075808590951001051101151201271321371421471521571625510025[[#This Row],[Cost]]*30,Other1117075808590951001051101151201271321371421471521571625510025[[#This Row],[Frequency]]="One-time",Other1117075808590951001051101151201271321371421471521571625510025[[#This Row],[Cost]]/SUM($C$18,$C$19))))</f>
        <v>#N/A</v>
      </c>
      <c r="H117" s="46" t="e">
        <f>Other1117075808590951001051101151201271321371421471521571625510025[[#This Row],[Monthly Cost Per Unit]]*12</f>
        <v>#N/A</v>
      </c>
    </row>
    <row r="118" spans="1:9" x14ac:dyDescent="0.25">
      <c r="A118" s="75"/>
      <c r="B118" s="75"/>
      <c r="C118" s="77"/>
      <c r="D118" s="78"/>
      <c r="E118" s="79"/>
      <c r="F118" s="79"/>
      <c r="G118" s="53" t="e" cm="1">
        <f t="array" ref="G118">_xlfn.IFS(Other1117075808590951001051101151201271321371421471521571625510025[[#This Row],[Unit]]="Program-wide",((_xlfn.IFS(Other1117075808590951001051101151201271321371421471521571625510025[[#This Row],[Frequency]]="Per Year",Other1117075808590951001051101151201271321371421471521571625510025[[#This Row],[Cost]]/12,Other1117075808590951001051101151201271321371421471521571625510025[[#This Row],[Frequency]]="Per month",Other1117075808590951001051101151201271321371421471521571625510025[[#This Row],[Cost]],Other1117075808590951001051101151201271321371421471521571625510025[[#This Row],[Frequency]]="Per day",Other1117075808590951001051101151201271321371421471521571625510025[[#This Row],[Cost]]*30,Other1117075808590951001051101151201271321371421471521571625510025[[#This Row],[Frequency]]="One-time",Other1117075808590951001051101151201271321371421471521571625510025[[#This Row],[Cost]]/SUM($C$18,$C$19)))/$C$17),Other1117075808590951001051101151201271321371421471521571625510025[[#This Row],[Unit]]="Per unit/space/household",(_xlfn.IFS(Other1117075808590951001051101151201271321371421471521571625510025[[#This Row],[Frequency]]="Per Year",Other1117075808590951001051101151201271321371421471521571625510025[[#This Row],[Cost]]/12,Other1117075808590951001051101151201271321371421471521571625510025[[#This Row],[Frequency]]="Per month",Other1117075808590951001051101151201271321371421471521571625510025[[#This Row],[Cost]],Other1117075808590951001051101151201271321371421471521571625510025[[#This Row],[Frequency]]="Per day",Other1117075808590951001051101151201271321371421471521571625510025[[#This Row],[Cost]]*30,Other1117075808590951001051101151201271321371421471521571625510025[[#This Row],[Frequency]]="One-time",Other1117075808590951001051101151201271321371421471521571625510025[[#This Row],[Cost]]/SUM($C$18,$C$19))))</f>
        <v>#N/A</v>
      </c>
      <c r="H118" s="46" t="e">
        <f>Other1117075808590951001051101151201271321371421471521571625510025[[#This Row],[Monthly Cost Per Unit]]*12</f>
        <v>#N/A</v>
      </c>
    </row>
    <row r="119" spans="1:9" x14ac:dyDescent="0.25">
      <c r="A119" s="75"/>
      <c r="B119" s="75"/>
      <c r="C119" s="77"/>
      <c r="D119" s="78"/>
      <c r="E119" s="79"/>
      <c r="F119" s="79"/>
      <c r="G119" s="53" t="e" cm="1">
        <f t="array" ref="G119">_xlfn.IFS(Other1117075808590951001051101151201271321371421471521571625510025[[#This Row],[Unit]]="Program-wide",((_xlfn.IFS(Other1117075808590951001051101151201271321371421471521571625510025[[#This Row],[Frequency]]="Per Year",Other1117075808590951001051101151201271321371421471521571625510025[[#This Row],[Cost]]/12,Other1117075808590951001051101151201271321371421471521571625510025[[#This Row],[Frequency]]="Per month",Other1117075808590951001051101151201271321371421471521571625510025[[#This Row],[Cost]],Other1117075808590951001051101151201271321371421471521571625510025[[#This Row],[Frequency]]="Per day",Other1117075808590951001051101151201271321371421471521571625510025[[#This Row],[Cost]]*30,Other1117075808590951001051101151201271321371421471521571625510025[[#This Row],[Frequency]]="One-time",Other1117075808590951001051101151201271321371421471521571625510025[[#This Row],[Cost]]/SUM($C$18,$C$19)))/$C$17),Other1117075808590951001051101151201271321371421471521571625510025[[#This Row],[Unit]]="Per unit/space/household",(_xlfn.IFS(Other1117075808590951001051101151201271321371421471521571625510025[[#This Row],[Frequency]]="Per Year",Other1117075808590951001051101151201271321371421471521571625510025[[#This Row],[Cost]]/12,Other1117075808590951001051101151201271321371421471521571625510025[[#This Row],[Frequency]]="Per month",Other1117075808590951001051101151201271321371421471521571625510025[[#This Row],[Cost]],Other1117075808590951001051101151201271321371421471521571625510025[[#This Row],[Frequency]]="Per day",Other1117075808590951001051101151201271321371421471521571625510025[[#This Row],[Cost]]*30,Other1117075808590951001051101151201271321371421471521571625510025[[#This Row],[Frequency]]="One-time",Other1117075808590951001051101151201271321371421471521571625510025[[#This Row],[Cost]]/SUM($C$18,$C$19))))</f>
        <v>#N/A</v>
      </c>
      <c r="H119" s="46" t="e">
        <f>Other1117075808590951001051101151201271321371421471521571625510025[[#This Row],[Monthly Cost Per Unit]]*12</f>
        <v>#N/A</v>
      </c>
    </row>
    <row r="120" spans="1:9" x14ac:dyDescent="0.25">
      <c r="A120" s="75"/>
      <c r="B120" s="75"/>
      <c r="C120" s="77"/>
      <c r="D120" s="78"/>
      <c r="E120" s="79"/>
      <c r="F120" s="79"/>
      <c r="G120" s="53" t="e" cm="1">
        <f t="array" ref="G120">_xlfn.IFS(Other1117075808590951001051101151201271321371421471521571625510025[[#This Row],[Unit]]="Program-wide",((_xlfn.IFS(Other1117075808590951001051101151201271321371421471521571625510025[[#This Row],[Frequency]]="Per Year",Other1117075808590951001051101151201271321371421471521571625510025[[#This Row],[Cost]]/12,Other1117075808590951001051101151201271321371421471521571625510025[[#This Row],[Frequency]]="Per month",Other1117075808590951001051101151201271321371421471521571625510025[[#This Row],[Cost]],Other1117075808590951001051101151201271321371421471521571625510025[[#This Row],[Frequency]]="Per day",Other1117075808590951001051101151201271321371421471521571625510025[[#This Row],[Cost]]*30,Other1117075808590951001051101151201271321371421471521571625510025[[#This Row],[Frequency]]="One-time",Other1117075808590951001051101151201271321371421471521571625510025[[#This Row],[Cost]]/SUM($C$18,$C$19)))/$C$17),Other1117075808590951001051101151201271321371421471521571625510025[[#This Row],[Unit]]="Per unit/space/household",(_xlfn.IFS(Other1117075808590951001051101151201271321371421471521571625510025[[#This Row],[Frequency]]="Per Year",Other1117075808590951001051101151201271321371421471521571625510025[[#This Row],[Cost]]/12,Other1117075808590951001051101151201271321371421471521571625510025[[#This Row],[Frequency]]="Per month",Other1117075808590951001051101151201271321371421471521571625510025[[#This Row],[Cost]],Other1117075808590951001051101151201271321371421471521571625510025[[#This Row],[Frequency]]="Per day",Other1117075808590951001051101151201271321371421471521571625510025[[#This Row],[Cost]]*30,Other1117075808590951001051101151201271321371421471521571625510025[[#This Row],[Frequency]]="One-time",Other1117075808590951001051101151201271321371421471521571625510025[[#This Row],[Cost]]/SUM($C$18,$C$19))))</f>
        <v>#N/A</v>
      </c>
      <c r="H120" s="46" t="e">
        <f>Other1117075808590951001051101151201271321371421471521571625510025[[#This Row],[Monthly Cost Per Unit]]*12</f>
        <v>#N/A</v>
      </c>
    </row>
    <row r="121" spans="1:9" s="1" customFormat="1" x14ac:dyDescent="0.25">
      <c r="A121" s="80"/>
      <c r="B121" s="80"/>
      <c r="C121" s="82"/>
      <c r="D121" s="83"/>
      <c r="E121" s="84"/>
      <c r="F121" s="84"/>
      <c r="G121" s="55" t="e" cm="1">
        <f t="array" ref="G121">_xlfn.IFS(Other1117075808590951001051101151201271321371421471521571625510025[[#This Row],[Unit]]="Program-wide",((_xlfn.IFS(Other1117075808590951001051101151201271321371421471521571625510025[[#This Row],[Frequency]]="Per Year",Other1117075808590951001051101151201271321371421471521571625510025[[#This Row],[Cost]]/12,Other1117075808590951001051101151201271321371421471521571625510025[[#This Row],[Frequency]]="Per month",Other1117075808590951001051101151201271321371421471521571625510025[[#This Row],[Cost]],Other1117075808590951001051101151201271321371421471521571625510025[[#This Row],[Frequency]]="Per day",Other1117075808590951001051101151201271321371421471521571625510025[[#This Row],[Cost]]*30,Other1117075808590951001051101151201271321371421471521571625510025[[#This Row],[Frequency]]="One-time",Other1117075808590951001051101151201271321371421471521571625510025[[#This Row],[Cost]]/SUM($C$18,$C$19)))/$C$17),Other1117075808590951001051101151201271321371421471521571625510025[[#This Row],[Unit]]="Per unit/space/household",(_xlfn.IFS(Other1117075808590951001051101151201271321371421471521571625510025[[#This Row],[Frequency]]="Per Year",Other1117075808590951001051101151201271321371421471521571625510025[[#This Row],[Cost]]/12,Other1117075808590951001051101151201271321371421471521571625510025[[#This Row],[Frequency]]="Per month",Other1117075808590951001051101151201271321371421471521571625510025[[#This Row],[Cost]],Other1117075808590951001051101151201271321371421471521571625510025[[#This Row],[Frequency]]="Per day",Other1117075808590951001051101151201271321371421471521571625510025[[#This Row],[Cost]]*30,Other1117075808590951001051101151201271321371421471521571625510025[[#This Row],[Frequency]]="One-time",Other1117075808590951001051101151201271321371421471521571625510025[[#This Row],[Cost]]/SUM($C$18,$C$19))))</f>
        <v>#N/A</v>
      </c>
      <c r="H121" s="46" t="e">
        <f>Other1117075808590951001051101151201271321371421471521571625510025[[#This Row],[Monthly Cost Per Unit]]*12</f>
        <v>#N/A</v>
      </c>
      <c r="I121"/>
    </row>
    <row r="122" spans="1:9" x14ac:dyDescent="0.25">
      <c r="A122" s="107" t="s">
        <v>20</v>
      </c>
      <c r="B122" s="107"/>
      <c r="C122" s="108" t="s">
        <v>68</v>
      </c>
      <c r="D122" s="109"/>
      <c r="E122" s="108"/>
      <c r="F122" s="108"/>
      <c r="G122" s="118"/>
      <c r="H122" s="111">
        <f>(SUMIF(Other1117075808590951001051101151201271321371421471521571625510025[Duration],"While homeless only",Other1117075808590951001051101151201271321371421471521571625510025[Monthly Cost Per Unit]))*12</f>
        <v>0</v>
      </c>
    </row>
    <row r="123" spans="1:9" x14ac:dyDescent="0.25">
      <c r="A123" s="112"/>
      <c r="B123" s="112"/>
      <c r="C123" s="108" t="s">
        <v>63</v>
      </c>
      <c r="D123" s="109"/>
      <c r="E123" s="108"/>
      <c r="F123" s="108"/>
      <c r="G123" s="111"/>
      <c r="H123" s="111">
        <f>(SUMIF(Other1117075808590951001051101151201271321371421471521571625510025[Duration],"While housed only",Other1117075808590951001051101151201271321371421471521571625510025[Monthly Cost Per Unit]))*12</f>
        <v>0</v>
      </c>
    </row>
    <row r="124" spans="1:9" x14ac:dyDescent="0.25">
      <c r="A124" s="112"/>
      <c r="B124" s="112"/>
      <c r="C124" s="108" t="s">
        <v>58</v>
      </c>
      <c r="D124" s="109"/>
      <c r="E124" s="108"/>
      <c r="F124" s="108"/>
      <c r="G124" s="111"/>
      <c r="H124" s="111">
        <f>(SUMIF(Other1117075808590951001051101151201271321371421471521571625510025[Duration],"Homeless &amp; housed",Other1117075808590951001051101151201271321371421471521571625510025[Monthly Cost Per Unit]))*12</f>
        <v>0</v>
      </c>
    </row>
    <row r="125" spans="1:9" ht="15.75" thickBot="1" x14ac:dyDescent="0.3">
      <c r="A125" s="113"/>
      <c r="B125" s="113"/>
      <c r="C125" s="114" t="s">
        <v>207</v>
      </c>
      <c r="D125" s="115"/>
      <c r="E125" s="114"/>
      <c r="F125" s="114"/>
      <c r="G125" s="117"/>
      <c r="H125" s="117">
        <f>(SUMIF(Other1117075808590951001051101151201271321371421471521571625510025[Duration],"N/A",Other1117075808590951001051101151201271321371421471521571625510025[Monthly Cost Per Unit]))*12</f>
        <v>0</v>
      </c>
    </row>
    <row r="126" spans="1:9" ht="16.5" thickTop="1" thickBot="1" x14ac:dyDescent="0.3">
      <c r="A126" s="113"/>
      <c r="B126" s="113"/>
      <c r="C126" s="114" t="s">
        <v>42</v>
      </c>
      <c r="D126" s="115"/>
      <c r="E126" s="114"/>
      <c r="F126" s="114"/>
      <c r="G126" s="117"/>
      <c r="H126" s="117">
        <f>SUM(H122:H125)</f>
        <v>0</v>
      </c>
    </row>
    <row r="127" spans="1:9" ht="15.75" thickTop="1" x14ac:dyDescent="0.25"/>
    <row r="128" spans="1:9" x14ac:dyDescent="0.25">
      <c r="A128" s="269" t="s">
        <v>92</v>
      </c>
      <c r="B128" s="269"/>
      <c r="C128" s="269"/>
      <c r="D128" s="269"/>
      <c r="E128" s="269"/>
      <c r="F128" s="269"/>
      <c r="G128" s="269"/>
      <c r="H128" s="269"/>
    </row>
    <row r="129" spans="1:8" x14ac:dyDescent="0.25">
      <c r="A129" s="304" t="s">
        <v>20</v>
      </c>
      <c r="B129" s="147"/>
      <c r="C129" s="108" t="s">
        <v>68</v>
      </c>
      <c r="D129" s="109"/>
      <c r="E129" s="108"/>
      <c r="F129" s="108"/>
      <c r="G129" s="118"/>
      <c r="H129" s="111">
        <f>SUM(H32,H53,H86, H108,H122)</f>
        <v>0</v>
      </c>
    </row>
    <row r="130" spans="1:8" x14ac:dyDescent="0.25">
      <c r="A130" s="305"/>
      <c r="B130" s="148"/>
      <c r="C130" s="108" t="s">
        <v>63</v>
      </c>
      <c r="D130" s="109"/>
      <c r="E130" s="108"/>
      <c r="F130" s="108"/>
      <c r="G130" s="111"/>
      <c r="H130" s="111">
        <f>SUM(H33,H54,H87, H109,H123)</f>
        <v>0</v>
      </c>
    </row>
    <row r="131" spans="1:8" x14ac:dyDescent="0.25">
      <c r="A131" s="305"/>
      <c r="B131" s="148"/>
      <c r="C131" s="108" t="s">
        <v>58</v>
      </c>
      <c r="D131" s="109"/>
      <c r="E131" s="108"/>
      <c r="F131" s="108"/>
      <c r="G131" s="111"/>
      <c r="H131" s="111">
        <f>SUM(H34,H55,H88, H110,H124)</f>
        <v>0</v>
      </c>
    </row>
    <row r="132" spans="1:8" ht="15.75" thickBot="1" x14ac:dyDescent="0.3">
      <c r="A132" s="305"/>
      <c r="B132" s="148"/>
      <c r="C132" s="114" t="s">
        <v>207</v>
      </c>
      <c r="D132" s="115"/>
      <c r="E132" s="114"/>
      <c r="F132" s="114"/>
      <c r="G132" s="117"/>
      <c r="H132" s="149">
        <f>SUM(H35,H56,H89, H111,H125)</f>
        <v>0</v>
      </c>
    </row>
    <row r="133" spans="1:8" ht="16.5" thickTop="1" thickBot="1" x14ac:dyDescent="0.3">
      <c r="A133" s="306"/>
      <c r="B133" s="150"/>
      <c r="C133" s="130" t="s">
        <v>42</v>
      </c>
      <c r="D133" s="130"/>
      <c r="E133" s="130"/>
      <c r="F133" s="130"/>
      <c r="G133" s="151"/>
      <c r="H133" s="117">
        <f>SUM(H36,H57,H90, H112,H126)</f>
        <v>0</v>
      </c>
    </row>
    <row r="134" spans="1:8" ht="15.75" thickTop="1" x14ac:dyDescent="0.25"/>
  </sheetData>
  <sheetProtection sheet="1" formatCells="0" formatColumns="0" formatRows="0" insertRows="0"/>
  <mergeCells count="41">
    <mergeCell ref="A128:H128"/>
    <mergeCell ref="A129:A133"/>
    <mergeCell ref="A25:H25"/>
    <mergeCell ref="A38:H38"/>
    <mergeCell ref="A39:H39"/>
    <mergeCell ref="A59:H59"/>
    <mergeCell ref="A60:H60"/>
    <mergeCell ref="A61:F61"/>
    <mergeCell ref="A62:F62"/>
    <mergeCell ref="A74:F74"/>
    <mergeCell ref="G74:H74"/>
    <mergeCell ref="A75:H75"/>
    <mergeCell ref="A92:H92"/>
    <mergeCell ref="A93:H93"/>
    <mergeCell ref="A114:H114"/>
    <mergeCell ref="A115:H115"/>
    <mergeCell ref="C19:D19"/>
    <mergeCell ref="A16:D16"/>
    <mergeCell ref="A15:D15"/>
    <mergeCell ref="A10:B10"/>
    <mergeCell ref="C10:D10"/>
    <mergeCell ref="A11:B11"/>
    <mergeCell ref="C11:D11"/>
    <mergeCell ref="A12:B12"/>
    <mergeCell ref="C12:D12"/>
    <mergeCell ref="A22:H22"/>
    <mergeCell ref="A24:H24"/>
    <mergeCell ref="A2:H2"/>
    <mergeCell ref="A7:D7"/>
    <mergeCell ref="A9:D9"/>
    <mergeCell ref="F9:G9"/>
    <mergeCell ref="A13:B13"/>
    <mergeCell ref="C13:D13"/>
    <mergeCell ref="A4:D4"/>
    <mergeCell ref="A5:B5"/>
    <mergeCell ref="C5:D5"/>
    <mergeCell ref="A17:B17"/>
    <mergeCell ref="C17:D17"/>
    <mergeCell ref="A18:B18"/>
    <mergeCell ref="C18:D18"/>
    <mergeCell ref="A19:B19"/>
  </mergeCells>
  <dataValidations count="12">
    <dataValidation type="custom" allowBlank="1" showInputMessage="1" showErrorMessage="1" prompt="This would be the amount of time a client is enrolled in the program after they have a housing move-in date in HMIS." sqref="C19:D19" xr:uid="{4F61B10F-AE99-4F0C-A4AE-CB8BDCC17676}">
      <formula1>ISNUMBER(VALUE(C19))</formula1>
    </dataValidation>
    <dataValidation type="custom" allowBlank="1" showInputMessage="1" showErrorMessage="1" prompt="This would be the amount of time a client is enrolled in the program before they have a housing move-in date in HMIS." sqref="C18:D18" xr:uid="{AAB798A8-A905-4C9A-9454-F206A54FA5E0}">
      <formula1>ISNUMBER(VALUE(C18))</formula1>
    </dataValidation>
    <dataValidation type="custom" allowBlank="1" showInputMessage="1" showErrorMessage="1" sqref="D27:D31 D41:D52 D77:D85 D95:D107 D117:D121 B64:E71" xr:uid="{9DC5AC53-DE7F-43AC-B5C1-CB1D3A8C7F63}">
      <formula1>ISNUMBER(VALUE(B27))</formula1>
    </dataValidation>
    <dataValidation allowBlank="1" showInputMessage="1" showErrorMessage="1" prompt="_x000a_" sqref="G13" xr:uid="{BB9BFB5A-FBA5-4343-ACF9-890238383ED4}"/>
    <dataValidation allowBlank="1" showInputMessage="1" showErrorMessage="1" prompt="This field required a selection from a drop-down menu. To find this menu, click on the cell and click the down arrow on the right-hand of the cell." sqref="E26:F26 E40:F40 E76:F76 E94:F94 E116:F116" xr:uid="{56790457-04EE-4F1C-B2B9-6A607A580ECB}"/>
    <dataValidation allowBlank="1" showInputMessage="1" showErrorMessage="1" prompt="This field required a selection from a drop-down menu. To find this menu, click on the cell and click the down arrow on the right-hand of the cell. " sqref="C26 C40 C76 C94 C116" xr:uid="{8E7F4651-DEDB-4CA6-8778-A18CE7E92D40}"/>
    <dataValidation allowBlank="1" showInputMessage="1" showErrorMessage="1" prompt="This column is auto-calculated based on the average rental cost and average utility cost per unit information." sqref="F63:F72" xr:uid="{EFD3EC38-87B1-4081-84A5-1F39B092DD6D}"/>
    <dataValidation allowBlank="1" showInputMessage="1" showErrorMessage="1" prompt="This would be the amount of time a client is enrolled in the program after they have a housing move-in date in HMIS." sqref="A19:B20 D20" xr:uid="{A4447D09-76EA-4DBA-86DB-0A4DD2C38090}"/>
    <dataValidation allowBlank="1" showInputMessage="1" showErrorMessage="1" prompt="This would be the amount of time a client is enrolled in the program before they have a housing move-in date in HMIS." sqref="A18:B18" xr:uid="{AD5E2D56-CC3D-40DA-BFC1-7EC6B79BBF62}"/>
    <dataValidation allowBlank="1" showErrorMessage="1" sqref="C20 F14:G14" xr:uid="{09150354-E155-46C9-974E-BA5DB3A9B6EC}"/>
    <dataValidation type="custom" allowBlank="1" showInputMessage="1" showErrorMessage="1" prompt="Project capacity is the number of units available at a point in time. Depending on the project type, a unit may represent a rental subsidy, a room or bed in a congregate setting, a motel room, a supportive services slot, etc." sqref="C17:D17" xr:uid="{CBC97397-CA55-42A0-AA18-5A669D4B4251}">
      <formula1>ISNUMBER(VALUE(C17))</formula1>
    </dataValidation>
    <dataValidation allowBlank="1" showInputMessage="1" showErrorMessage="1" prompt="Project capacity is the number of units available at a point in time. Depending on the project type, a unit may represent a rental subsidy, a room or bed in a congregate setting, a motel room, a supportive services slot, etc." sqref="A17:B17" xr:uid="{F818F83B-8EDE-43F7-9245-45EA2CCCF265}"/>
  </dataValidations>
  <pageMargins left="0.7" right="0.7" top="0.75" bottom="0.75" header="0.3" footer="0.3"/>
  <pageSetup orientation="portrait" horizontalDpi="90" verticalDpi="90" r:id="rId1"/>
  <tableParts count="5">
    <tablePart r:id="rId2"/>
    <tablePart r:id="rId3"/>
    <tablePart r:id="rId4"/>
    <tablePart r:id="rId5"/>
    <tablePart r:id="rId6"/>
  </tableParts>
  <extLst>
    <ext xmlns:x14="http://schemas.microsoft.com/office/spreadsheetml/2009/9/main" uri="{CCE6A557-97BC-4b89-ADB6-D9C93CAAB3DF}">
      <x14:dataValidations xmlns:xm="http://schemas.microsoft.com/office/excel/2006/main" count="9">
        <x14:dataValidation type="list" allowBlank="1" showInputMessage="1" showErrorMessage="1" prompt="This field required a selection from a drop-down menu. To find this menu, click on the cell and click the down arrow on the right-hand of the cell." xr:uid="{CFCBE940-46B5-45D1-94E9-EE9D66D68481}">
          <x14:formula1>
            <xm:f>Allowable!$B$2:$B$3</xm:f>
          </x14:formula1>
          <xm:sqref>F27:F31</xm:sqref>
        </x14:dataValidation>
        <x14:dataValidation type="list" allowBlank="1" showInputMessage="1" showErrorMessage="1" prompt="This field required a selection from a drop-down menu. To find this menu, click on the cell and click the down arrow on the right-hand of the cell. " xr:uid="{E5C2D1E7-D8C6-4649-8E49-21BFFA47DB36}">
          <x14:formula1>
            <xm:f>Allowable!$B$2:$B$3</xm:f>
          </x14:formula1>
          <xm:sqref>F41:F52 F77:F85 F95:F107 F117:F121</xm:sqref>
        </x14:dataValidation>
        <x14:dataValidation type="list" allowBlank="1" showInputMessage="1" showErrorMessage="1" prompt="This field required a selection from a drop-down menu. To find this menu, click on the cell and click the down arrow on the right-hand of the cell. " xr:uid="{A2BCA16F-A64D-4678-B9E3-8F638968AFAA}">
          <x14:formula1>
            <xm:f>Allowable!$A$2:$A$5</xm:f>
          </x14:formula1>
          <xm:sqref>E41:E52 E77:E85 E95:E107 E117:E121</xm:sqref>
        </x14:dataValidation>
        <x14:dataValidation type="list" allowBlank="1" showInputMessage="1" showErrorMessage="1" prompt="This field required a selection from a drop-down menu. To find this menu, click on the cell and click the down arrow on the right-hand of the cell." xr:uid="{FB19C3CE-0DED-4DDD-9626-F3078512CA7C}">
          <x14:formula1>
            <xm:f>Allowable!$A$2:$A$5</xm:f>
          </x14:formula1>
          <xm:sqref>E27:E31 E41:E52</xm:sqref>
        </x14:dataValidation>
        <x14:dataValidation type="list" allowBlank="1" showInputMessage="1" showErrorMessage="1" xr:uid="{71BC0534-3E83-4E52-83BE-4DDB8188C529}">
          <x14:formula1>
            <xm:f>Allowable!$A$2:$A$5</xm:f>
          </x14:formula1>
          <xm:sqref>E58</xm:sqref>
        </x14:dataValidation>
        <x14:dataValidation type="list" allowBlank="1" showInputMessage="1" showErrorMessage="1" xr:uid="{D5187DDB-7670-4EA1-AA75-ED5C1407094B}">
          <x14:formula1>
            <xm:f>Allowable!$B$2:$B$3</xm:f>
          </x14:formula1>
          <xm:sqref>F58</xm:sqref>
        </x14:dataValidation>
        <x14:dataValidation type="list" allowBlank="1" showInputMessage="1" showErrorMessage="1" prompt="This field required a selection from a drop-down menu. To find this menu, click on the cell and click the down arrow on the right-hand of the cell. " xr:uid="{6CBAFA0C-90C9-40D8-8663-1ED9550F3F15}">
          <x14:formula1>
            <xm:f>Allowable!$E$2:$E$4</xm:f>
          </x14:formula1>
          <xm:sqref>C117:C121 C95:C107 C77:C85</xm:sqref>
        </x14:dataValidation>
        <x14:dataValidation type="list" allowBlank="1" showInputMessage="1" showErrorMessage="1" xr:uid="{84B2D83C-3C94-4318-B5D3-F25D09A34DB4}">
          <x14:formula1>
            <xm:f>Allowable!$D$2:$D$13</xm:f>
          </x14:formula1>
          <xm:sqref>C11:D11</xm:sqref>
        </x14:dataValidation>
        <x14:dataValidation type="list" allowBlank="1" showInputMessage="1" showErrorMessage="1" prompt="This field required a selection from a drop-down menu. To find this menu, click on the cell and click the down arrow on the right-hand of the cell. " xr:uid="{C7920B0F-B33B-436B-9BF7-2E6283695E22}">
          <x14:formula1>
            <xm:f>Allowable!$E$2:$E$5</xm:f>
          </x14:formula1>
          <xm:sqref>C27:C31 C41:C52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64B6A-BE28-4E2B-A38F-D5BE384669FD}">
  <sheetPr>
    <tabColor theme="8" tint="0.79998168889431442"/>
  </sheetPr>
  <dimension ref="A2:I134"/>
  <sheetViews>
    <sheetView showGridLines="0" zoomScaleNormal="100" workbookViewId="0">
      <selection activeCell="F16" sqref="F16"/>
    </sheetView>
  </sheetViews>
  <sheetFormatPr defaultColWidth="8.7109375" defaultRowHeight="15" outlineLevelRow="1" x14ac:dyDescent="0.25"/>
  <cols>
    <col min="1" max="1" width="27.140625" style="3" customWidth="1"/>
    <col min="2" max="2" width="21.140625" customWidth="1"/>
    <col min="3" max="3" width="18.5703125" customWidth="1"/>
    <col min="4" max="5" width="14.42578125" customWidth="1"/>
    <col min="6" max="6" width="22.85546875" style="128" customWidth="1"/>
    <col min="7" max="7" width="13.5703125" style="128" customWidth="1"/>
    <col min="8" max="8" width="13.140625" customWidth="1"/>
    <col min="9" max="9" width="10.5703125" customWidth="1"/>
    <col min="10" max="10" width="10.42578125" customWidth="1"/>
    <col min="11" max="11" width="22.5703125" customWidth="1"/>
    <col min="12" max="12" width="14.85546875" customWidth="1"/>
  </cols>
  <sheetData>
    <row r="2" spans="1:8" ht="26.25" x14ac:dyDescent="0.4">
      <c r="A2" s="288" t="str">
        <f>CONCATENATE("Comparable Projects for ", 'Model Project Type'!D10, " Cost Assumptions")</f>
        <v>Comparable Projects for  Cost Assumptions</v>
      </c>
      <c r="B2" s="288"/>
      <c r="C2" s="288"/>
      <c r="D2" s="288"/>
      <c r="E2" s="288"/>
      <c r="F2" s="288"/>
      <c r="G2" s="288"/>
      <c r="H2" s="288"/>
    </row>
    <row r="3" spans="1:8" ht="19.5" customHeight="1" x14ac:dyDescent="0.25"/>
    <row r="4" spans="1:8" ht="26.1" customHeight="1" x14ac:dyDescent="0.4">
      <c r="A4" s="273" t="s">
        <v>1</v>
      </c>
      <c r="B4" s="273"/>
      <c r="C4" s="273"/>
      <c r="D4" s="273"/>
    </row>
    <row r="5" spans="1:8" ht="30.6" customHeight="1" x14ac:dyDescent="0.25">
      <c r="A5" s="292" t="s">
        <v>109</v>
      </c>
      <c r="B5" s="292"/>
      <c r="C5" s="293" t="str">
        <f>IF('Model Project Type'!D10 = 0, " ", 'Model Project Type'!D10)</f>
        <v xml:space="preserve"> </v>
      </c>
      <c r="D5" s="293"/>
    </row>
    <row r="6" spans="1:8" ht="20.100000000000001" customHeight="1" x14ac:dyDescent="0.25">
      <c r="A6"/>
      <c r="F6"/>
      <c r="G6"/>
    </row>
    <row r="7" spans="1:8" ht="26.1" customHeight="1" x14ac:dyDescent="0.4">
      <c r="A7" s="273" t="s">
        <v>35</v>
      </c>
      <c r="B7" s="273"/>
      <c r="C7" s="273"/>
      <c r="D7" s="273"/>
    </row>
    <row r="8" spans="1:8" ht="5.45" customHeight="1" x14ac:dyDescent="0.4">
      <c r="A8" s="36"/>
      <c r="B8" s="36"/>
      <c r="C8" s="36"/>
      <c r="D8" s="36"/>
      <c r="F8" s="129"/>
      <c r="G8" s="129"/>
    </row>
    <row r="9" spans="1:8" ht="20.100000000000001" customHeight="1" x14ac:dyDescent="0.25">
      <c r="A9" s="289" t="s">
        <v>36</v>
      </c>
      <c r="B9" s="289"/>
      <c r="C9" s="289"/>
      <c r="D9" s="289"/>
      <c r="F9" s="308" t="s">
        <v>37</v>
      </c>
      <c r="G9" s="308"/>
    </row>
    <row r="10" spans="1:8" ht="19.7" customHeight="1" x14ac:dyDescent="0.25">
      <c r="A10" s="290" t="s">
        <v>38</v>
      </c>
      <c r="B10" s="290"/>
      <c r="C10" s="311"/>
      <c r="D10" s="311"/>
      <c r="F10" s="108" t="s">
        <v>68</v>
      </c>
      <c r="G10" s="111">
        <f>H129</f>
        <v>0</v>
      </c>
    </row>
    <row r="11" spans="1:8" ht="19.7" customHeight="1" x14ac:dyDescent="0.25">
      <c r="A11" s="286" t="s">
        <v>39</v>
      </c>
      <c r="B11" s="286"/>
      <c r="C11" s="310"/>
      <c r="D11" s="310"/>
      <c r="F11" s="108" t="s">
        <v>63</v>
      </c>
      <c r="G11" s="111">
        <f>H130</f>
        <v>0</v>
      </c>
    </row>
    <row r="12" spans="1:8" ht="19.7" customHeight="1" x14ac:dyDescent="0.25">
      <c r="A12" s="287" t="s">
        <v>40</v>
      </c>
      <c r="B12" s="287"/>
      <c r="C12" s="307"/>
      <c r="D12" s="307"/>
      <c r="F12" s="108" t="s">
        <v>58</v>
      </c>
      <c r="G12" s="111">
        <f>H131</f>
        <v>0</v>
      </c>
    </row>
    <row r="13" spans="1:8" ht="19.7" customHeight="1" thickBot="1" x14ac:dyDescent="0.3">
      <c r="A13" s="286" t="s">
        <v>41</v>
      </c>
      <c r="B13" s="286"/>
      <c r="C13" s="307"/>
      <c r="D13" s="307"/>
      <c r="F13" s="114" t="s">
        <v>207</v>
      </c>
      <c r="G13" s="117">
        <f>H132</f>
        <v>0</v>
      </c>
    </row>
    <row r="14" spans="1:8" ht="19.7" customHeight="1" thickTop="1" thickBot="1" x14ac:dyDescent="0.3">
      <c r="A14" s="7"/>
      <c r="B14" s="40"/>
      <c r="C14" s="35"/>
      <c r="D14" s="34"/>
      <c r="F14" s="130" t="s">
        <v>42</v>
      </c>
      <c r="G14" s="117">
        <f>H133</f>
        <v>0</v>
      </c>
    </row>
    <row r="15" spans="1:8" ht="19.7" customHeight="1" thickTop="1" x14ac:dyDescent="0.25">
      <c r="A15" s="280" t="s">
        <v>43</v>
      </c>
      <c r="B15" s="280"/>
      <c r="C15" s="280"/>
      <c r="D15" s="280"/>
    </row>
    <row r="16" spans="1:8" ht="44.45" customHeight="1" x14ac:dyDescent="0.25">
      <c r="A16" s="281" t="s">
        <v>44</v>
      </c>
      <c r="B16" s="282"/>
      <c r="C16" s="282"/>
      <c r="D16" s="282"/>
    </row>
    <row r="17" spans="1:9" ht="18.600000000000001" customHeight="1" x14ac:dyDescent="0.25">
      <c r="A17" s="283" t="s">
        <v>45</v>
      </c>
      <c r="B17" s="283"/>
      <c r="C17" s="309"/>
      <c r="D17" s="309"/>
    </row>
    <row r="18" spans="1:9" ht="44.45" customHeight="1" x14ac:dyDescent="0.25">
      <c r="A18" s="275" t="s">
        <v>46</v>
      </c>
      <c r="B18" s="275"/>
      <c r="C18" s="310"/>
      <c r="D18" s="310"/>
    </row>
    <row r="19" spans="1:9" ht="44.45" customHeight="1" x14ac:dyDescent="0.25">
      <c r="A19" s="275" t="s">
        <v>47</v>
      </c>
      <c r="B19" s="275"/>
      <c r="C19" s="307"/>
      <c r="D19" s="307"/>
    </row>
    <row r="20" spans="1:9" ht="14.1" customHeight="1" x14ac:dyDescent="0.25">
      <c r="A20" s="33"/>
      <c r="B20" s="33"/>
      <c r="C20" s="39"/>
      <c r="D20" s="35"/>
    </row>
    <row r="21" spans="1:9" ht="17.45" customHeight="1" x14ac:dyDescent="0.25">
      <c r="A21" s="4"/>
      <c r="B21" s="4"/>
      <c r="C21" s="35"/>
      <c r="D21" s="35"/>
    </row>
    <row r="22" spans="1:9" ht="21" customHeight="1" x14ac:dyDescent="0.4">
      <c r="A22" s="277" t="s">
        <v>48</v>
      </c>
      <c r="B22" s="277"/>
      <c r="C22" s="277"/>
      <c r="D22" s="277"/>
      <c r="E22" s="277"/>
      <c r="F22" s="277"/>
      <c r="G22" s="277"/>
      <c r="H22" s="277"/>
    </row>
    <row r="23" spans="1:9" ht="6.6" customHeight="1" x14ac:dyDescent="0.25">
      <c r="A23" s="32"/>
      <c r="B23" s="30"/>
      <c r="C23" s="30"/>
      <c r="D23" s="30"/>
      <c r="F23" s="129"/>
      <c r="G23" s="129"/>
    </row>
    <row r="24" spans="1:9" x14ac:dyDescent="0.25">
      <c r="A24" s="274" t="s">
        <v>49</v>
      </c>
      <c r="B24" s="274"/>
      <c r="C24" s="274"/>
      <c r="D24" s="274"/>
      <c r="E24" s="274"/>
      <c r="F24" s="274"/>
      <c r="G24" s="274"/>
      <c r="H24" s="274"/>
    </row>
    <row r="25" spans="1:9" ht="30.75" customHeight="1" outlineLevel="1" x14ac:dyDescent="0.25">
      <c r="A25" s="294" t="s">
        <v>50</v>
      </c>
      <c r="B25" s="294"/>
      <c r="C25" s="294"/>
      <c r="D25" s="294"/>
      <c r="E25" s="294"/>
      <c r="F25" s="294"/>
      <c r="G25" s="294"/>
      <c r="H25" s="294"/>
    </row>
    <row r="26" spans="1:9" s="3" customFormat="1" ht="28.35" customHeight="1" x14ac:dyDescent="0.25">
      <c r="A26" s="131" t="s">
        <v>51</v>
      </c>
      <c r="B26" s="131" t="s">
        <v>52</v>
      </c>
      <c r="C26" s="131" t="s">
        <v>53</v>
      </c>
      <c r="D26" s="131" t="s">
        <v>54</v>
      </c>
      <c r="E26" s="131" t="s">
        <v>55</v>
      </c>
      <c r="F26" s="131" t="s">
        <v>56</v>
      </c>
      <c r="G26" s="131" t="s">
        <v>57</v>
      </c>
      <c r="H26" s="132" t="s">
        <v>20</v>
      </c>
    </row>
    <row r="27" spans="1:9" x14ac:dyDescent="0.25">
      <c r="A27" s="75"/>
      <c r="B27" s="76"/>
      <c r="C27" s="77"/>
      <c r="D27" s="78"/>
      <c r="E27" s="79"/>
      <c r="F27" s="79"/>
      <c r="G27" s="53" t="e" cm="1">
        <f t="array" ref="G27">_xlfn.IFS(Administrative176671768186919610110611111612312813313814314815315851962126[[#This Row],[Unit]]="Program-wide",((_xlfn.IFS(Administrative176671768186919610110611111612312813313814314815315851962126[[#This Row],[Frequency]]="Per Year",Administrative176671768186919610110611111612312813313814314815315851962126[[#This Row],[Cost]]/12,Administrative176671768186919610110611111612312813313814314815315851962126[[#This Row],[Frequency]]="Per month",Administrative176671768186919610110611111612312813313814314815315851962126[[#This Row],[Cost]],Administrative176671768186919610110611111612312813313814314815315851962126[[#This Row],[Frequency]]="Per day",Administrative176671768186919610110611111612312813313814314815315851962126[[#This Row],[Cost]]*30,Administrative176671768186919610110611111612312813313814314815315851962126[[#This Row],[Frequency]]="One-time",Administrative176671768186919610110611111612312813313814314815315851962126[[#This Row],[Cost]]/SUM(C18,C19)))/$C$17),Administrative176671768186919610110611111612312813313814314815315851962126[[#This Row],[Unit]]="Per unit/space/household",(_xlfn.IFS(Administrative176671768186919610110611111612312813313814314815315851962126[[#This Row],[Frequency]]="Per Year",Administrative176671768186919610110611111612312813313814314815315851962126[[#This Row],[Cost]]/12,Administrative176671768186919610110611111612312813313814314815315851962126[[#This Row],[Frequency]]="Per month",Administrative176671768186919610110611111612312813313814314815315851962126[[#This Row],[Cost]],Administrative176671768186919610110611111612312813313814314815315851962126[[#This Row],[Frequency]]="Per day",Administrative176671768186919610110611111612312813313814314815315851962126[[#This Row],[Cost]]*30,Administrative176671768186919610110611111612312813313814314815315851962126[[#This Row],[Frequency]]="One-time",Administrative176671768186919610110611111612312813313814314815315851962126[[#This Row],[Cost]]/SUM($C$18,$C$19))))</f>
        <v>#N/A</v>
      </c>
      <c r="H27" s="46" t="e">
        <f>Administrative176671768186919610110611111612312813313814314815315851962126[[#This Row],[Monthly Cost Per Unit]]*12</f>
        <v>#N/A</v>
      </c>
    </row>
    <row r="28" spans="1:9" x14ac:dyDescent="0.25">
      <c r="A28" s="75"/>
      <c r="B28" s="76"/>
      <c r="C28" s="77"/>
      <c r="D28" s="78"/>
      <c r="E28" s="79"/>
      <c r="F28" s="79"/>
      <c r="G28" s="53" t="e" cm="1">
        <f t="array" ref="G28">_xlfn.IFS(Administrative176671768186919610110611111612312813313814314815315851962126[[#This Row],[Unit]]="Program-wide",((_xlfn.IFS(Administrative176671768186919610110611111612312813313814314815315851962126[[#This Row],[Frequency]]="Per Year",Administrative176671768186919610110611111612312813313814314815315851962126[[#This Row],[Cost]]/12,Administrative176671768186919610110611111612312813313814314815315851962126[[#This Row],[Frequency]]="Per month",Administrative176671768186919610110611111612312813313814314815315851962126[[#This Row],[Cost]],Administrative176671768186919610110611111612312813313814314815315851962126[[#This Row],[Frequency]]="Per day",Administrative176671768186919610110611111612312813313814314815315851962126[[#This Row],[Cost]]*30,Administrative176671768186919610110611111612312813313814314815315851962126[[#This Row],[Frequency]]="One-time",Administrative176671768186919610110611111612312813313814314815315851962126[[#This Row],[Cost]]/SUM(C18,C19)))/$C$17),Administrative176671768186919610110611111612312813313814314815315851962126[[#This Row],[Unit]]="Per unit/space/household",(_xlfn.IFS(Administrative176671768186919610110611111612312813313814314815315851962126[[#This Row],[Frequency]]="Per Year",Administrative176671768186919610110611111612312813313814314815315851962126[[#This Row],[Cost]]/12,Administrative176671768186919610110611111612312813313814314815315851962126[[#This Row],[Frequency]]="Per month",Administrative176671768186919610110611111612312813313814314815315851962126[[#This Row],[Cost]],Administrative176671768186919610110611111612312813313814314815315851962126[[#This Row],[Frequency]]="Per day",Administrative176671768186919610110611111612312813313814314815315851962126[[#This Row],[Cost]]*30,Administrative176671768186919610110611111612312813313814314815315851962126[[#This Row],[Frequency]]="One-time",Administrative176671768186919610110611111612312813313814314815315851962126[[#This Row],[Cost]]/SUM($C$18,$C$19))))</f>
        <v>#N/A</v>
      </c>
      <c r="H28" s="46" t="e">
        <f>Administrative176671768186919610110611111612312813313814314815315851962126[[#This Row],[Monthly Cost Per Unit]]*12</f>
        <v>#N/A</v>
      </c>
    </row>
    <row r="29" spans="1:9" x14ac:dyDescent="0.25">
      <c r="A29" s="75"/>
      <c r="B29" s="76"/>
      <c r="C29" s="77"/>
      <c r="D29" s="78"/>
      <c r="E29" s="79"/>
      <c r="F29" s="79"/>
      <c r="G29" s="53" t="e" cm="1">
        <f t="array" ref="G29">_xlfn.IFS(Administrative176671768186919610110611111612312813313814314815315851962126[[#This Row],[Unit]]="Program-wide",((_xlfn.IFS(Administrative176671768186919610110611111612312813313814314815315851962126[[#This Row],[Frequency]]="Per Year",Administrative176671768186919610110611111612312813313814314815315851962126[[#This Row],[Cost]]/12,Administrative176671768186919610110611111612312813313814314815315851962126[[#This Row],[Frequency]]="Per month",Administrative176671768186919610110611111612312813313814314815315851962126[[#This Row],[Cost]],Administrative176671768186919610110611111612312813313814314815315851962126[[#This Row],[Frequency]]="Per day",Administrative176671768186919610110611111612312813313814314815315851962126[[#This Row],[Cost]]*30,Administrative176671768186919610110611111612312813313814314815315851962126[[#This Row],[Frequency]]="One-time",Administrative176671768186919610110611111612312813313814314815315851962126[[#This Row],[Cost]]/SUM(C18,C19)))/$C$17),Administrative176671768186919610110611111612312813313814314815315851962126[[#This Row],[Unit]]="Per unit/space/household",(_xlfn.IFS(Administrative176671768186919610110611111612312813313814314815315851962126[[#This Row],[Frequency]]="Per Year",Administrative176671768186919610110611111612312813313814314815315851962126[[#This Row],[Cost]]/12,Administrative176671768186919610110611111612312813313814314815315851962126[[#This Row],[Frequency]]="Per month",Administrative176671768186919610110611111612312813313814314815315851962126[[#This Row],[Cost]],Administrative176671768186919610110611111612312813313814314815315851962126[[#This Row],[Frequency]]="Per day",Administrative176671768186919610110611111612312813313814314815315851962126[[#This Row],[Cost]]*30,Administrative176671768186919610110611111612312813313814314815315851962126[[#This Row],[Frequency]]="One-time",Administrative176671768186919610110611111612312813313814314815315851962126[[#This Row],[Cost]]/SUM($C$18,$C$19))))</f>
        <v>#N/A</v>
      </c>
      <c r="H29" s="46" t="e">
        <f>Administrative176671768186919610110611111612312813313814314815315851962126[[#This Row],[Monthly Cost Per Unit]]*12</f>
        <v>#N/A</v>
      </c>
    </row>
    <row r="30" spans="1:9" x14ac:dyDescent="0.25">
      <c r="A30" s="75"/>
      <c r="B30" s="76"/>
      <c r="C30" s="77"/>
      <c r="D30" s="78"/>
      <c r="E30" s="79"/>
      <c r="F30" s="79"/>
      <c r="G30" s="53" t="e" cm="1">
        <f t="array" ref="G30">_xlfn.IFS(Administrative176671768186919610110611111612312813313814314815315851962126[[#This Row],[Unit]]="Program-wide",((_xlfn.IFS(Administrative176671768186919610110611111612312813313814314815315851962126[[#This Row],[Frequency]]="Per Year",Administrative176671768186919610110611111612312813313814314815315851962126[[#This Row],[Cost]]/12,Administrative176671768186919610110611111612312813313814314815315851962126[[#This Row],[Frequency]]="Per month",Administrative176671768186919610110611111612312813313814314815315851962126[[#This Row],[Cost]],Administrative176671768186919610110611111612312813313814314815315851962126[[#This Row],[Frequency]]="Per day",Administrative176671768186919610110611111612312813313814314815315851962126[[#This Row],[Cost]]*30,Administrative176671768186919610110611111612312813313814314815315851962126[[#This Row],[Frequency]]="One-time",Administrative176671768186919610110611111612312813313814314815315851962126[[#This Row],[Cost]]/SUM(C18,C19)))/$C$17),Administrative176671768186919610110611111612312813313814314815315851962126[[#This Row],[Unit]]="Per unit/space/household",(_xlfn.IFS(Administrative176671768186919610110611111612312813313814314815315851962126[[#This Row],[Frequency]]="Per Year",Administrative176671768186919610110611111612312813313814314815315851962126[[#This Row],[Cost]]/12,Administrative176671768186919610110611111612312813313814314815315851962126[[#This Row],[Frequency]]="Per month",Administrative176671768186919610110611111612312813313814314815315851962126[[#This Row],[Cost]],Administrative176671768186919610110611111612312813313814314815315851962126[[#This Row],[Frequency]]="Per day",Administrative176671768186919610110611111612312813313814314815315851962126[[#This Row],[Cost]]*30,Administrative176671768186919610110611111612312813313814314815315851962126[[#This Row],[Frequency]]="One-time",Administrative176671768186919610110611111612312813313814314815315851962126[[#This Row],[Cost]]/SUM($C$18,$C$19))))</f>
        <v>#N/A</v>
      </c>
      <c r="H30" s="46" t="e">
        <f>Administrative176671768186919610110611111612312813313814314815315851962126[[#This Row],[Monthly Cost Per Unit]]*12</f>
        <v>#N/A</v>
      </c>
    </row>
    <row r="31" spans="1:9" s="1" customFormat="1" x14ac:dyDescent="0.25">
      <c r="A31" s="80"/>
      <c r="B31" s="81"/>
      <c r="C31" s="82"/>
      <c r="D31" s="83"/>
      <c r="E31" s="84"/>
      <c r="F31" s="84"/>
      <c r="G31" s="54" t="e" cm="1">
        <f t="array" ref="G31">_xlfn.IFS(Administrative176671768186919610110611111612312813313814314815315851962126[[#This Row],[Unit]]="Program-wide",((_xlfn.IFS(Administrative176671768186919610110611111612312813313814314815315851962126[[#This Row],[Frequency]]="Per Year",Administrative176671768186919610110611111612312813313814314815315851962126[[#This Row],[Cost]]/12,Administrative176671768186919610110611111612312813313814314815315851962126[[#This Row],[Frequency]]="Per month",Administrative176671768186919610110611111612312813313814314815315851962126[[#This Row],[Cost]],Administrative176671768186919610110611111612312813313814314815315851962126[[#This Row],[Frequency]]="Per day",Administrative176671768186919610110611111612312813313814314815315851962126[[#This Row],[Cost]]*30,Administrative176671768186919610110611111612312813313814314815315851962126[[#This Row],[Frequency]]="One-time",Administrative176671768186919610110611111612312813313814314815315851962126[[#This Row],[Cost]]/SUM(C18,C19)))/$C$17),Administrative176671768186919610110611111612312813313814314815315851962126[[#This Row],[Unit]]="Per unit/space/household",(_xlfn.IFS(Administrative176671768186919610110611111612312813313814314815315851962126[[#This Row],[Frequency]]="Per Year",Administrative176671768186919610110611111612312813313814314815315851962126[[#This Row],[Cost]]/12,Administrative176671768186919610110611111612312813313814314815315851962126[[#This Row],[Frequency]]="Per month",Administrative176671768186919610110611111612312813313814314815315851962126[[#This Row],[Cost]],Administrative176671768186919610110611111612312813313814314815315851962126[[#This Row],[Frequency]]="Per day",Administrative176671768186919610110611111612312813313814314815315851962126[[#This Row],[Cost]]*30,Administrative176671768186919610110611111612312813313814314815315851962126[[#This Row],[Frequency]]="One-time",Administrative176671768186919610110611111612312813313814314815315851962126[[#This Row],[Cost]]/SUM($C$18,$C$19))))</f>
        <v>#N/A</v>
      </c>
      <c r="H31" s="46" t="e">
        <f>Administrative176671768186919610110611111612312813313814314815315851962126[[#This Row],[Monthly Cost Per Unit]]*12</f>
        <v>#N/A</v>
      </c>
      <c r="I31"/>
    </row>
    <row r="32" spans="1:9" x14ac:dyDescent="0.25">
      <c r="A32" s="107" t="s">
        <v>20</v>
      </c>
      <c r="B32" s="107"/>
      <c r="C32" s="108" t="s">
        <v>68</v>
      </c>
      <c r="D32" s="109"/>
      <c r="E32" s="108"/>
      <c r="F32" s="108"/>
      <c r="G32" s="110"/>
      <c r="H32" s="111">
        <f>(SUMIF(Administrative176671768186919610110611111612312813313814314815315851962126[Duration],"While homeless only",Administrative176671768186919610110611111612312813313814314815315851962126[Monthly Cost Per Unit]))*12</f>
        <v>0</v>
      </c>
    </row>
    <row r="33" spans="1:8" x14ac:dyDescent="0.25">
      <c r="A33" s="112"/>
      <c r="B33" s="112"/>
      <c r="C33" s="108" t="s">
        <v>63</v>
      </c>
      <c r="D33" s="109"/>
      <c r="E33" s="108"/>
      <c r="F33" s="108"/>
      <c r="G33" s="110"/>
      <c r="H33" s="111">
        <f>(SUMIF(Administrative176671768186919610110611111612312813313814314815315851962126[Duration],"While housed only",Administrative176671768186919610110611111612312813313814314815315851962126[Monthly Cost Per Unit]))*12</f>
        <v>0</v>
      </c>
    </row>
    <row r="34" spans="1:8" x14ac:dyDescent="0.25">
      <c r="A34" s="112"/>
      <c r="B34" s="112"/>
      <c r="C34" s="108" t="s">
        <v>58</v>
      </c>
      <c r="D34" s="109"/>
      <c r="E34" s="108"/>
      <c r="F34" s="108"/>
      <c r="G34" s="110"/>
      <c r="H34" s="111">
        <f>(SUMIF(Administrative176671768186919610110611111612312813313814314815315851962126[Duration],"Homeless &amp; housed",Administrative176671768186919610110611111612312813313814314815315851962126[Monthly Cost Per Unit]))*12</f>
        <v>0</v>
      </c>
    </row>
    <row r="35" spans="1:8" ht="15.75" thickBot="1" x14ac:dyDescent="0.3">
      <c r="A35" s="113"/>
      <c r="B35" s="113"/>
      <c r="C35" s="114" t="s">
        <v>207</v>
      </c>
      <c r="D35" s="115"/>
      <c r="E35" s="114"/>
      <c r="F35" s="114"/>
      <c r="G35" s="116"/>
      <c r="H35" s="117">
        <f>(SUMIF(Administrative176671768186919610110611111612312813313814314815315851962126[Duration],"N/A",Administrative176671768186919610110611111612312813313814314815315851962126[Monthly Cost Per Unit]))*12</f>
        <v>0</v>
      </c>
    </row>
    <row r="36" spans="1:8" ht="16.5" thickTop="1" thickBot="1" x14ac:dyDescent="0.3">
      <c r="A36" s="113"/>
      <c r="B36" s="113"/>
      <c r="C36" s="114" t="s">
        <v>42</v>
      </c>
      <c r="D36" s="115"/>
      <c r="E36" s="114"/>
      <c r="F36" s="114"/>
      <c r="G36" s="133"/>
      <c r="H36" s="117">
        <f>SUM(H32:H35)</f>
        <v>0</v>
      </c>
    </row>
    <row r="37" spans="1:8" ht="15.75" thickTop="1" x14ac:dyDescent="0.25">
      <c r="A37" s="10"/>
      <c r="B37" s="10"/>
      <c r="C37" s="10"/>
      <c r="D37" s="10"/>
      <c r="F37" s="129"/>
      <c r="G37" s="129"/>
    </row>
    <row r="38" spans="1:8" x14ac:dyDescent="0.25">
      <c r="A38" s="274" t="s">
        <v>61</v>
      </c>
      <c r="B38" s="274"/>
      <c r="C38" s="274"/>
      <c r="D38" s="274"/>
      <c r="E38" s="274"/>
      <c r="F38" s="274"/>
      <c r="G38" s="274"/>
      <c r="H38" s="274"/>
    </row>
    <row r="39" spans="1:8" ht="30" customHeight="1" outlineLevel="1" x14ac:dyDescent="0.25">
      <c r="A39" s="294" t="s">
        <v>62</v>
      </c>
      <c r="B39" s="294"/>
      <c r="C39" s="294"/>
      <c r="D39" s="294"/>
      <c r="E39" s="294"/>
      <c r="F39" s="294"/>
      <c r="G39" s="294"/>
      <c r="H39" s="294"/>
    </row>
    <row r="40" spans="1:8" s="3" customFormat="1" ht="28.35" customHeight="1" x14ac:dyDescent="0.25">
      <c r="A40" s="131" t="s">
        <v>51</v>
      </c>
      <c r="B40" s="131" t="s">
        <v>52</v>
      </c>
      <c r="C40" s="131" t="s">
        <v>53</v>
      </c>
      <c r="D40" s="131" t="s">
        <v>54</v>
      </c>
      <c r="E40" s="131" t="s">
        <v>55</v>
      </c>
      <c r="F40" s="131" t="s">
        <v>56</v>
      </c>
      <c r="G40" s="131" t="s">
        <v>57</v>
      </c>
      <c r="H40" s="132" t="s">
        <v>20</v>
      </c>
    </row>
    <row r="41" spans="1:8" x14ac:dyDescent="0.25">
      <c r="A41" s="75"/>
      <c r="B41" s="76"/>
      <c r="C41" s="88"/>
      <c r="D41" s="89"/>
      <c r="E41" s="79"/>
      <c r="F41" s="79"/>
      <c r="G41" s="53" t="e" cm="1">
        <f t="array" ref="G41">_xlfn.IFS(Operations186772778287929710210711211712412913413914414915415952972227[[#This Row],[Unit]]="Program-wide",((_xlfn.IFS(Operations186772778287929710210711211712412913413914414915415952972227[[#This Row],[Frequency]]="Per Year",Operations186772778287929710210711211712412913413914414915415952972227[[#This Row],[Cost]]/12,Operations186772778287929710210711211712412913413914414915415952972227[[#This Row],[Frequency]]="Per month",Operations186772778287929710210711211712412913413914414915415952972227[[#This Row],[Cost]],Operations186772778287929710210711211712412913413914414915415952972227[[#This Row],[Frequency]]="Per day",Operations186772778287929710210711211712412913413914414915415952972227[[#This Row],[Cost]]*30,Operations186772778287929710210711211712412913413914414915415952972227[[#This Row],[Frequency]]="One-time",Operations186772778287929710210711211712412913413914414915415952972227[[#This Row],[Cost]]/SUM(C18,C19)))/$C$17),Operations186772778287929710210711211712412913413914414915415952972227[[#This Row],[Unit]]="Per unit/space/household",(_xlfn.IFS(Operations186772778287929710210711211712412913413914414915415952972227[[#This Row],[Frequency]]="Per Year",Operations186772778287929710210711211712412913413914414915415952972227[[#This Row],[Cost]]/12,Operations186772778287929710210711211712412913413914414915415952972227[[#This Row],[Frequency]]="Per month",Operations186772778287929710210711211712412913413914414915415952972227[[#This Row],[Cost]],Operations186772778287929710210711211712412913413914414915415952972227[[#This Row],[Frequency]]="Per day",Operations186772778287929710210711211712412913413914414915415952972227[[#This Row],[Cost]]*30,Operations186772778287929710210711211712412913413914414915415952972227[[#This Row],[Frequency]]="One-time",Operations186772778287929710210711211712412913413914414915415952972227[[#This Row],[Cost]]/SUM($C$18,$C$19))))</f>
        <v>#N/A</v>
      </c>
      <c r="H41" s="46" t="e">
        <f>Operations186772778287929710210711211712412913413914414915415952972227[[#This Row],[Monthly Cost Per Unit]]*12</f>
        <v>#N/A</v>
      </c>
    </row>
    <row r="42" spans="1:8" x14ac:dyDescent="0.25">
      <c r="A42" s="75"/>
      <c r="B42" s="76"/>
      <c r="C42" s="77"/>
      <c r="D42" s="78"/>
      <c r="E42" s="79"/>
      <c r="F42" s="79"/>
      <c r="G42" s="53" t="e" cm="1">
        <f t="array" ref="G42">_xlfn.IFS(Operations186772778287929710210711211712412913413914414915415952972227[[#This Row],[Unit]]="Program-wide",((_xlfn.IFS(Operations186772778287929710210711211712412913413914414915415952972227[[#This Row],[Frequency]]="Per Year",Operations186772778287929710210711211712412913413914414915415952972227[[#This Row],[Cost]]/12,Operations186772778287929710210711211712412913413914414915415952972227[[#This Row],[Frequency]]="Per month",Operations186772778287929710210711211712412913413914414915415952972227[[#This Row],[Cost]],Operations186772778287929710210711211712412913413914414915415952972227[[#This Row],[Frequency]]="Per day",Operations186772778287929710210711211712412913413914414915415952972227[[#This Row],[Cost]]*30,Operations186772778287929710210711211712412913413914414915415952972227[[#This Row],[Frequency]]="One-time",Operations186772778287929710210711211712412913413914414915415952972227[[#This Row],[Cost]]/SUM($C$18,$C$19)))/$C$17),Operations186772778287929710210711211712412913413914414915415952972227[[#This Row],[Unit]]="Per unit/space/household",(_xlfn.IFS(Operations186772778287929710210711211712412913413914414915415952972227[[#This Row],[Frequency]]="Per Year",Operations186772778287929710210711211712412913413914414915415952972227[[#This Row],[Cost]]/12,Operations186772778287929710210711211712412913413914414915415952972227[[#This Row],[Frequency]]="Per month",Operations186772778287929710210711211712412913413914414915415952972227[[#This Row],[Cost]],Operations186772778287929710210711211712412913413914414915415952972227[[#This Row],[Frequency]]="Per day",Operations186772778287929710210711211712412913413914414915415952972227[[#This Row],[Cost]]*30,Operations186772778287929710210711211712412913413914414915415952972227[[#This Row],[Frequency]]="One-time",Operations186772778287929710210711211712412913413914414915415952972227[[#This Row],[Cost]]/SUM($C$18,$C$19))))</f>
        <v>#N/A</v>
      </c>
      <c r="H42" s="46" t="e">
        <f>Operations186772778287929710210711211712412913413914414915415952972227[[#This Row],[Monthly Cost Per Unit]]*12</f>
        <v>#N/A</v>
      </c>
    </row>
    <row r="43" spans="1:8" x14ac:dyDescent="0.25">
      <c r="A43" s="75"/>
      <c r="B43" s="76"/>
      <c r="C43" s="77"/>
      <c r="D43" s="78"/>
      <c r="E43" s="79"/>
      <c r="F43" s="79"/>
      <c r="G43" s="53" t="e" cm="1">
        <f t="array" ref="G43">_xlfn.IFS(Operations186772778287929710210711211712412913413914414915415952972227[[#This Row],[Unit]]="Program-wide",((_xlfn.IFS(Operations186772778287929710210711211712412913413914414915415952972227[[#This Row],[Frequency]]="Per Year",Operations186772778287929710210711211712412913413914414915415952972227[[#This Row],[Cost]]/12,Operations186772778287929710210711211712412913413914414915415952972227[[#This Row],[Frequency]]="Per month",Operations186772778287929710210711211712412913413914414915415952972227[[#This Row],[Cost]],Operations186772778287929710210711211712412913413914414915415952972227[[#This Row],[Frequency]]="Per day",Operations186772778287929710210711211712412913413914414915415952972227[[#This Row],[Cost]]*30,Operations186772778287929710210711211712412913413914414915415952972227[[#This Row],[Frequency]]="One-time",Operations186772778287929710210711211712412913413914414915415952972227[[#This Row],[Cost]]/SUM($C$18,$C$19)))/$C$17),Operations186772778287929710210711211712412913413914414915415952972227[[#This Row],[Unit]]="Per unit/space/household",(_xlfn.IFS(Operations186772778287929710210711211712412913413914414915415952972227[[#This Row],[Frequency]]="Per Year",Operations186772778287929710210711211712412913413914414915415952972227[[#This Row],[Cost]]/12,Operations186772778287929710210711211712412913413914414915415952972227[[#This Row],[Frequency]]="Per month",Operations186772778287929710210711211712412913413914414915415952972227[[#This Row],[Cost]],Operations186772778287929710210711211712412913413914414915415952972227[[#This Row],[Frequency]]="Per day",Operations186772778287929710210711211712412913413914414915415952972227[[#This Row],[Cost]]*30,Operations186772778287929710210711211712412913413914414915415952972227[[#This Row],[Frequency]]="One-time",Operations186772778287929710210711211712412913413914414915415952972227[[#This Row],[Cost]]/SUM($C$18,$C$19))))</f>
        <v>#N/A</v>
      </c>
      <c r="H43" s="46" t="e">
        <f>Operations186772778287929710210711211712412913413914414915415952972227[[#This Row],[Monthly Cost Per Unit]]*12</f>
        <v>#N/A</v>
      </c>
    </row>
    <row r="44" spans="1:8" x14ac:dyDescent="0.25">
      <c r="A44" s="75"/>
      <c r="B44" s="76"/>
      <c r="C44" s="77"/>
      <c r="D44" s="78"/>
      <c r="E44" s="79"/>
      <c r="F44" s="79"/>
      <c r="G44" s="53" t="e" cm="1">
        <f t="array" ref="G44">_xlfn.IFS(Operations186772778287929710210711211712412913413914414915415952972227[[#This Row],[Unit]]="Program-wide",((_xlfn.IFS(Operations186772778287929710210711211712412913413914414915415952972227[[#This Row],[Frequency]]="Per Year",Operations186772778287929710210711211712412913413914414915415952972227[[#This Row],[Cost]]/12,Operations186772778287929710210711211712412913413914414915415952972227[[#This Row],[Frequency]]="Per month",Operations186772778287929710210711211712412913413914414915415952972227[[#This Row],[Cost]],Operations186772778287929710210711211712412913413914414915415952972227[[#This Row],[Frequency]]="Per day",Operations186772778287929710210711211712412913413914414915415952972227[[#This Row],[Cost]]*30,Operations186772778287929710210711211712412913413914414915415952972227[[#This Row],[Frequency]]="One-time",Operations186772778287929710210711211712412913413914414915415952972227[[#This Row],[Cost]]/SUM($C$18,$C$19)))/$C$17),Operations186772778287929710210711211712412913413914414915415952972227[[#This Row],[Unit]]="Per unit/space/household",(_xlfn.IFS(Operations186772778287929710210711211712412913413914414915415952972227[[#This Row],[Frequency]]="Per Year",Operations186772778287929710210711211712412913413914414915415952972227[[#This Row],[Cost]]/12,Operations186772778287929710210711211712412913413914414915415952972227[[#This Row],[Frequency]]="Per month",Operations186772778287929710210711211712412913413914414915415952972227[[#This Row],[Cost]],Operations186772778287929710210711211712412913413914414915415952972227[[#This Row],[Frequency]]="Per day",Operations186772778287929710210711211712412913413914414915415952972227[[#This Row],[Cost]]*30,Operations186772778287929710210711211712412913413914414915415952972227[[#This Row],[Frequency]]="One-time",Operations186772778287929710210711211712412913413914414915415952972227[[#This Row],[Cost]]/SUM($C$18,$C$19))))</f>
        <v>#N/A</v>
      </c>
      <c r="H44" s="46" t="e">
        <f>Operations186772778287929710210711211712412913413914414915415952972227[[#This Row],[Monthly Cost Per Unit]]*12</f>
        <v>#N/A</v>
      </c>
    </row>
    <row r="45" spans="1:8" x14ac:dyDescent="0.25">
      <c r="A45" s="75"/>
      <c r="B45" s="76"/>
      <c r="C45" s="77"/>
      <c r="D45" s="78"/>
      <c r="E45" s="79"/>
      <c r="F45" s="79"/>
      <c r="G45" s="53" t="e" cm="1">
        <f t="array" ref="G45">_xlfn.IFS(Operations186772778287929710210711211712412913413914414915415952972227[[#This Row],[Unit]]="Program-wide",((_xlfn.IFS(Operations186772778287929710210711211712412913413914414915415952972227[[#This Row],[Frequency]]="Per Year",Operations186772778287929710210711211712412913413914414915415952972227[[#This Row],[Cost]]/12,Operations186772778287929710210711211712412913413914414915415952972227[[#This Row],[Frequency]]="Per month",Operations186772778287929710210711211712412913413914414915415952972227[[#This Row],[Cost]],Operations186772778287929710210711211712412913413914414915415952972227[[#This Row],[Frequency]]="Per day",Operations186772778287929710210711211712412913413914414915415952972227[[#This Row],[Cost]]*30,Operations186772778287929710210711211712412913413914414915415952972227[[#This Row],[Frequency]]="One-time",Operations186772778287929710210711211712412913413914414915415952972227[[#This Row],[Cost]]/SUM($C$18,$C$19)))/$C$17),Operations186772778287929710210711211712412913413914414915415952972227[[#This Row],[Unit]]="Per unit/space/household",(_xlfn.IFS(Operations186772778287929710210711211712412913413914414915415952972227[[#This Row],[Frequency]]="Per Year",Operations186772778287929710210711211712412913413914414915415952972227[[#This Row],[Cost]]/12,Operations186772778287929710210711211712412913413914414915415952972227[[#This Row],[Frequency]]="Per month",Operations186772778287929710210711211712412913413914414915415952972227[[#This Row],[Cost]],Operations186772778287929710210711211712412913413914414915415952972227[[#This Row],[Frequency]]="Per day",Operations186772778287929710210711211712412913413914414915415952972227[[#This Row],[Cost]]*30,Operations186772778287929710210711211712412913413914414915415952972227[[#This Row],[Frequency]]="One-time",Operations186772778287929710210711211712412913413914414915415952972227[[#This Row],[Cost]]/SUM($C$18,$C$19))))</f>
        <v>#N/A</v>
      </c>
      <c r="H45" s="46" t="e">
        <f>Operations186772778287929710210711211712412913413914414915415952972227[[#This Row],[Monthly Cost Per Unit]]*12</f>
        <v>#N/A</v>
      </c>
    </row>
    <row r="46" spans="1:8" x14ac:dyDescent="0.25">
      <c r="A46" s="75"/>
      <c r="B46" s="76"/>
      <c r="C46" s="77"/>
      <c r="D46" s="78"/>
      <c r="E46" s="79"/>
      <c r="F46" s="79"/>
      <c r="G46" s="53" t="e" cm="1">
        <f t="array" ref="G46">_xlfn.IFS(Operations186772778287929710210711211712412913413914414915415952972227[[#This Row],[Unit]]="Program-wide",((_xlfn.IFS(Operations186772778287929710210711211712412913413914414915415952972227[[#This Row],[Frequency]]="Per Year",Operations186772778287929710210711211712412913413914414915415952972227[[#This Row],[Cost]]/12,Operations186772778287929710210711211712412913413914414915415952972227[[#This Row],[Frequency]]="Per month",Operations186772778287929710210711211712412913413914414915415952972227[[#This Row],[Cost]],Operations186772778287929710210711211712412913413914414915415952972227[[#This Row],[Frequency]]="Per day",Operations186772778287929710210711211712412913413914414915415952972227[[#This Row],[Cost]]*30,Operations186772778287929710210711211712412913413914414915415952972227[[#This Row],[Frequency]]="One-time",Operations186772778287929710210711211712412913413914414915415952972227[[#This Row],[Cost]]/SUM($C$18,$C$19)))/$C$17),Operations186772778287929710210711211712412913413914414915415952972227[[#This Row],[Unit]]="Per unit/space/household",(_xlfn.IFS(Operations186772778287929710210711211712412913413914414915415952972227[[#This Row],[Frequency]]="Per Year",Operations186772778287929710210711211712412913413914414915415952972227[[#This Row],[Cost]]/12,Operations186772778287929710210711211712412913413914414915415952972227[[#This Row],[Frequency]]="Per month",Operations186772778287929710210711211712412913413914414915415952972227[[#This Row],[Cost]],Operations186772778287929710210711211712412913413914414915415952972227[[#This Row],[Frequency]]="Per day",Operations186772778287929710210711211712412913413914414915415952972227[[#This Row],[Cost]]*30,Operations186772778287929710210711211712412913413914414915415952972227[[#This Row],[Frequency]]="One-time",Operations186772778287929710210711211712412913413914414915415952972227[[#This Row],[Cost]]/SUM($C$18,$C$19))))</f>
        <v>#N/A</v>
      </c>
      <c r="H46" s="46" t="e">
        <f>Operations186772778287929710210711211712412913413914414915415952972227[[#This Row],[Monthly Cost Per Unit]]*12</f>
        <v>#N/A</v>
      </c>
    </row>
    <row r="47" spans="1:8" x14ac:dyDescent="0.25">
      <c r="A47" s="75"/>
      <c r="B47" s="76"/>
      <c r="C47" s="77"/>
      <c r="D47" s="78"/>
      <c r="E47" s="79"/>
      <c r="F47" s="79"/>
      <c r="G47" s="53" t="e" cm="1">
        <f t="array" ref="G47">_xlfn.IFS(Operations186772778287929710210711211712412913413914414915415952972227[[#This Row],[Unit]]="Program-wide",((_xlfn.IFS(Operations186772778287929710210711211712412913413914414915415952972227[[#This Row],[Frequency]]="Per Year",Operations186772778287929710210711211712412913413914414915415952972227[[#This Row],[Cost]]/12,Operations186772778287929710210711211712412913413914414915415952972227[[#This Row],[Frequency]]="Per month",Operations186772778287929710210711211712412913413914414915415952972227[[#This Row],[Cost]],Operations186772778287929710210711211712412913413914414915415952972227[[#This Row],[Frequency]]="Per day",Operations186772778287929710210711211712412913413914414915415952972227[[#This Row],[Cost]]*30,Operations186772778287929710210711211712412913413914414915415952972227[[#This Row],[Frequency]]="One-time",Operations186772778287929710210711211712412913413914414915415952972227[[#This Row],[Cost]]/SUM($C$18,$C$19)))/$C$17),Operations186772778287929710210711211712412913413914414915415952972227[[#This Row],[Unit]]="Per unit/space/household",(_xlfn.IFS(Operations186772778287929710210711211712412913413914414915415952972227[[#This Row],[Frequency]]="Per Year",Operations186772778287929710210711211712412913413914414915415952972227[[#This Row],[Cost]]/12,Operations186772778287929710210711211712412913413914414915415952972227[[#This Row],[Frequency]]="Per month",Operations186772778287929710210711211712412913413914414915415952972227[[#This Row],[Cost]],Operations186772778287929710210711211712412913413914414915415952972227[[#This Row],[Frequency]]="Per day",Operations186772778287929710210711211712412913413914414915415952972227[[#This Row],[Cost]]*30,Operations186772778287929710210711211712412913413914414915415952972227[[#This Row],[Frequency]]="One-time",Operations186772778287929710210711211712412913413914414915415952972227[[#This Row],[Cost]]/SUM($C$18,$C$19))))</f>
        <v>#N/A</v>
      </c>
      <c r="H47" s="46" t="e">
        <f>Operations186772778287929710210711211712412913413914414915415952972227[[#This Row],[Monthly Cost Per Unit]]*12</f>
        <v>#N/A</v>
      </c>
    </row>
    <row r="48" spans="1:8" x14ac:dyDescent="0.25">
      <c r="A48" s="75"/>
      <c r="B48" s="76"/>
      <c r="C48" s="77"/>
      <c r="D48" s="78"/>
      <c r="E48" s="79"/>
      <c r="F48" s="79"/>
      <c r="G48" s="53" t="e" cm="1">
        <f t="array" ref="G48">_xlfn.IFS(Operations186772778287929710210711211712412913413914414915415952972227[[#This Row],[Unit]]="Program-wide",((_xlfn.IFS(Operations186772778287929710210711211712412913413914414915415952972227[[#This Row],[Frequency]]="Per Year",Operations186772778287929710210711211712412913413914414915415952972227[[#This Row],[Cost]]/12,Operations186772778287929710210711211712412913413914414915415952972227[[#This Row],[Frequency]]="Per month",Operations186772778287929710210711211712412913413914414915415952972227[[#This Row],[Cost]],Operations186772778287929710210711211712412913413914414915415952972227[[#This Row],[Frequency]]="Per day",Operations186772778287929710210711211712412913413914414915415952972227[[#This Row],[Cost]]*30,Operations186772778287929710210711211712412913413914414915415952972227[[#This Row],[Frequency]]="One-time",Operations186772778287929710210711211712412913413914414915415952972227[[#This Row],[Cost]]/SUM($C$18,$C$19)))/$C$17),Operations186772778287929710210711211712412913413914414915415952972227[[#This Row],[Unit]]="Per unit/space/household",(_xlfn.IFS(Operations186772778287929710210711211712412913413914414915415952972227[[#This Row],[Frequency]]="Per Year",Operations186772778287929710210711211712412913413914414915415952972227[[#This Row],[Cost]]/12,Operations186772778287929710210711211712412913413914414915415952972227[[#This Row],[Frequency]]="Per month",Operations186772778287929710210711211712412913413914414915415952972227[[#This Row],[Cost]],Operations186772778287929710210711211712412913413914414915415952972227[[#This Row],[Frequency]]="Per day",Operations186772778287929710210711211712412913413914414915415952972227[[#This Row],[Cost]]*30,Operations186772778287929710210711211712412913413914414915415952972227[[#This Row],[Frequency]]="One-time",Operations186772778287929710210711211712412913413914414915415952972227[[#This Row],[Cost]]/SUM($C$18,$C$19))))</f>
        <v>#N/A</v>
      </c>
      <c r="H48" s="46" t="e">
        <f>Operations186772778287929710210711211712412913413914414915415952972227[[#This Row],[Monthly Cost Per Unit]]*12</f>
        <v>#N/A</v>
      </c>
    </row>
    <row r="49" spans="1:9" x14ac:dyDescent="0.25">
      <c r="A49" s="75"/>
      <c r="B49" s="76"/>
      <c r="C49" s="77"/>
      <c r="D49" s="78"/>
      <c r="E49" s="79"/>
      <c r="F49" s="79"/>
      <c r="G49" s="53" t="e" cm="1">
        <f t="array" ref="G49">_xlfn.IFS(Operations186772778287929710210711211712412913413914414915415952972227[[#This Row],[Unit]]="Program-wide",((_xlfn.IFS(Operations186772778287929710210711211712412913413914414915415952972227[[#This Row],[Frequency]]="Per Year",Operations186772778287929710210711211712412913413914414915415952972227[[#This Row],[Cost]]/12,Operations186772778287929710210711211712412913413914414915415952972227[[#This Row],[Frequency]]="Per month",Operations186772778287929710210711211712412913413914414915415952972227[[#This Row],[Cost]],Operations186772778287929710210711211712412913413914414915415952972227[[#This Row],[Frequency]]="Per day",Operations186772778287929710210711211712412913413914414915415952972227[[#This Row],[Cost]]*30,Operations186772778287929710210711211712412913413914414915415952972227[[#This Row],[Frequency]]="One-time",Operations186772778287929710210711211712412913413914414915415952972227[[#This Row],[Cost]]/SUM($C$18,$C$19)))/$C$17),Operations186772778287929710210711211712412913413914414915415952972227[[#This Row],[Unit]]="Per unit/space/household",(_xlfn.IFS(Operations186772778287929710210711211712412913413914414915415952972227[[#This Row],[Frequency]]="Per Year",Operations186772778287929710210711211712412913413914414915415952972227[[#This Row],[Cost]]/12,Operations186772778287929710210711211712412913413914414915415952972227[[#This Row],[Frequency]]="Per month",Operations186772778287929710210711211712412913413914414915415952972227[[#This Row],[Cost]],Operations186772778287929710210711211712412913413914414915415952972227[[#This Row],[Frequency]]="Per day",Operations186772778287929710210711211712412913413914414915415952972227[[#This Row],[Cost]]*30,Operations186772778287929710210711211712412913413914414915415952972227[[#This Row],[Frequency]]="One-time",Operations186772778287929710210711211712412913413914414915415952972227[[#This Row],[Cost]]/SUM($C$18,$C$19))))</f>
        <v>#N/A</v>
      </c>
      <c r="H49" s="46" t="e">
        <f>Operations186772778287929710210711211712412913413914414915415952972227[[#This Row],[Monthly Cost Per Unit]]*12</f>
        <v>#N/A</v>
      </c>
    </row>
    <row r="50" spans="1:9" x14ac:dyDescent="0.25">
      <c r="A50" s="75"/>
      <c r="B50" s="76"/>
      <c r="C50" s="77"/>
      <c r="D50" s="78"/>
      <c r="E50" s="79"/>
      <c r="F50" s="79"/>
      <c r="G50" s="53" t="e" cm="1">
        <f t="array" ref="G50">_xlfn.IFS(Operations186772778287929710210711211712412913413914414915415952972227[[#This Row],[Unit]]="Program-wide",((_xlfn.IFS(Operations186772778287929710210711211712412913413914414915415952972227[[#This Row],[Frequency]]="Per Year",Operations186772778287929710210711211712412913413914414915415952972227[[#This Row],[Cost]]/12,Operations186772778287929710210711211712412913413914414915415952972227[[#This Row],[Frequency]]="Per month",Operations186772778287929710210711211712412913413914414915415952972227[[#This Row],[Cost]],Operations186772778287929710210711211712412913413914414915415952972227[[#This Row],[Frequency]]="Per day",Operations186772778287929710210711211712412913413914414915415952972227[[#This Row],[Cost]]*30,Operations186772778287929710210711211712412913413914414915415952972227[[#This Row],[Frequency]]="One-time",Operations186772778287929710210711211712412913413914414915415952972227[[#This Row],[Cost]]/SUM($C$18,$C$19)))/$C$17),Operations186772778287929710210711211712412913413914414915415952972227[[#This Row],[Unit]]="Per unit/space/household",(_xlfn.IFS(Operations186772778287929710210711211712412913413914414915415952972227[[#This Row],[Frequency]]="Per Year",Operations186772778287929710210711211712412913413914414915415952972227[[#This Row],[Cost]]/12,Operations186772778287929710210711211712412913413914414915415952972227[[#This Row],[Frequency]]="Per month",Operations186772778287929710210711211712412913413914414915415952972227[[#This Row],[Cost]],Operations186772778287929710210711211712412913413914414915415952972227[[#This Row],[Frequency]]="Per day",Operations186772778287929710210711211712412913413914414915415952972227[[#This Row],[Cost]]*30,Operations186772778287929710210711211712412913413914414915415952972227[[#This Row],[Frequency]]="One-time",Operations186772778287929710210711211712412913413914414915415952972227[[#This Row],[Cost]]/SUM($C$18,$C$19))))</f>
        <v>#N/A</v>
      </c>
      <c r="H50" s="46" t="e">
        <f>Operations186772778287929710210711211712412913413914414915415952972227[[#This Row],[Monthly Cost Per Unit]]*12</f>
        <v>#N/A</v>
      </c>
    </row>
    <row r="51" spans="1:9" x14ac:dyDescent="0.25">
      <c r="A51" s="75"/>
      <c r="B51" s="76"/>
      <c r="C51" s="77"/>
      <c r="D51" s="78"/>
      <c r="E51" s="79"/>
      <c r="F51" s="79"/>
      <c r="G51" s="53" t="e" cm="1">
        <f t="array" ref="G51">_xlfn.IFS(Operations186772778287929710210711211712412913413914414915415952972227[[#This Row],[Unit]]="Program-wide",((_xlfn.IFS(Operations186772778287929710210711211712412913413914414915415952972227[[#This Row],[Frequency]]="Per Year",Operations186772778287929710210711211712412913413914414915415952972227[[#This Row],[Cost]]/12,Operations186772778287929710210711211712412913413914414915415952972227[[#This Row],[Frequency]]="Per month",Operations186772778287929710210711211712412913413914414915415952972227[[#This Row],[Cost]],Operations186772778287929710210711211712412913413914414915415952972227[[#This Row],[Frequency]]="Per day",Operations186772778287929710210711211712412913413914414915415952972227[[#This Row],[Cost]]*30,Operations186772778287929710210711211712412913413914414915415952972227[[#This Row],[Frequency]]="One-time",Operations186772778287929710210711211712412913413914414915415952972227[[#This Row],[Cost]]/SUM($C$18,$C$19)))/$C$17),Operations186772778287929710210711211712412913413914414915415952972227[[#This Row],[Unit]]="Per unit/space/household",(_xlfn.IFS(Operations186772778287929710210711211712412913413914414915415952972227[[#This Row],[Frequency]]="Per Year",Operations186772778287929710210711211712412913413914414915415952972227[[#This Row],[Cost]]/12,Operations186772778287929710210711211712412913413914414915415952972227[[#This Row],[Frequency]]="Per month",Operations186772778287929710210711211712412913413914414915415952972227[[#This Row],[Cost]],Operations186772778287929710210711211712412913413914414915415952972227[[#This Row],[Frequency]]="Per day",Operations186772778287929710210711211712412913413914414915415952972227[[#This Row],[Cost]]*30,Operations186772778287929710210711211712412913413914414915415952972227[[#This Row],[Frequency]]="One-time",Operations186772778287929710210711211712412913413914414915415952972227[[#This Row],[Cost]]/SUM($C$18,$C$19))))</f>
        <v>#N/A</v>
      </c>
      <c r="H51" s="46" t="e">
        <f>Operations186772778287929710210711211712412913413914414915415952972227[[#This Row],[Monthly Cost Per Unit]]*12</f>
        <v>#N/A</v>
      </c>
    </row>
    <row r="52" spans="1:9" x14ac:dyDescent="0.25">
      <c r="A52" s="75"/>
      <c r="B52" s="76"/>
      <c r="C52" s="77"/>
      <c r="D52" s="78"/>
      <c r="E52" s="79"/>
      <c r="F52" s="79"/>
      <c r="G52" s="55" t="e" cm="1">
        <f t="array" ref="G52">_xlfn.IFS(Operations186772778287929710210711211712412913413914414915415952972227[[#This Row],[Unit]]="Program-wide",((_xlfn.IFS(Operations186772778287929710210711211712412913413914414915415952972227[[#This Row],[Frequency]]="Per Year",Operations186772778287929710210711211712412913413914414915415952972227[[#This Row],[Cost]]/12,Operations186772778287929710210711211712412913413914414915415952972227[[#This Row],[Frequency]]="Per month",Operations186772778287929710210711211712412913413914414915415952972227[[#This Row],[Cost]],Operations186772778287929710210711211712412913413914414915415952972227[[#This Row],[Frequency]]="Per day",Operations186772778287929710210711211712412913413914414915415952972227[[#This Row],[Cost]]*30,Operations186772778287929710210711211712412913413914414915415952972227[[#This Row],[Frequency]]="One-time",Operations186772778287929710210711211712412913413914414915415952972227[[#This Row],[Cost]]/SUM($C$18,$C$19)))/$C$17),Operations186772778287929710210711211712412913413914414915415952972227[[#This Row],[Unit]]="Per unit/space/household",(_xlfn.IFS(Operations186772778287929710210711211712412913413914414915415952972227[[#This Row],[Frequency]]="Per Year",Operations186772778287929710210711211712412913413914414915415952972227[[#This Row],[Cost]]/12,Operations186772778287929710210711211712412913413914414915415952972227[[#This Row],[Frequency]]="Per month",Operations186772778287929710210711211712412913413914414915415952972227[[#This Row],[Cost]],Operations186772778287929710210711211712412913413914414915415952972227[[#This Row],[Frequency]]="Per day",Operations186772778287929710210711211712412913413914414915415952972227[[#This Row],[Cost]]*30,Operations186772778287929710210711211712412913413914414915415952972227[[#This Row],[Frequency]]="One-time",Operations186772778287929710210711211712412913413914414915415952972227[[#This Row],[Cost]]/SUM($C$18,$C$19))))</f>
        <v>#N/A</v>
      </c>
      <c r="H52" s="46" t="e">
        <f>Operations186772778287929710210711211712412913413914414915415952972227[[#This Row],[Monthly Cost Per Unit]]*12</f>
        <v>#N/A</v>
      </c>
    </row>
    <row r="53" spans="1:9" x14ac:dyDescent="0.25">
      <c r="A53" s="107" t="s">
        <v>20</v>
      </c>
      <c r="B53" s="107"/>
      <c r="C53" s="108" t="s">
        <v>68</v>
      </c>
      <c r="D53" s="109"/>
      <c r="E53" s="108"/>
      <c r="F53" s="108"/>
      <c r="G53" s="118"/>
      <c r="H53" s="111">
        <f>(SUMIF(Operations186772778287929710210711211712412913413914414915415952972227[Duration],"While homeless only",Operations186772778287929710210711211712412913413914414915415952972227[Monthly Cost Per Unit]))*12</f>
        <v>0</v>
      </c>
    </row>
    <row r="54" spans="1:9" x14ac:dyDescent="0.25">
      <c r="A54" s="112"/>
      <c r="B54" s="112"/>
      <c r="C54" s="108" t="s">
        <v>63</v>
      </c>
      <c r="D54" s="109"/>
      <c r="E54" s="108"/>
      <c r="F54" s="108"/>
      <c r="G54" s="111"/>
      <c r="H54" s="111">
        <f>(SUMIF(Operations186772778287929710210711211712412913413914414915415952972227[Duration],"While housed only",Operations186772778287929710210711211712412913413914414915415952972227[Monthly Cost Per Unit]))*12</f>
        <v>0</v>
      </c>
    </row>
    <row r="55" spans="1:9" x14ac:dyDescent="0.25">
      <c r="A55" s="112"/>
      <c r="B55" s="112"/>
      <c r="C55" s="108" t="s">
        <v>58</v>
      </c>
      <c r="D55" s="109"/>
      <c r="E55" s="108"/>
      <c r="F55" s="108"/>
      <c r="G55" s="111"/>
      <c r="H55" s="111">
        <f>(SUMIF(Operations186772778287929710210711211712412913413914414915415952972227[Duration],"Homeless &amp; housed",Operations186772778287929710210711211712412913413914414915415952972227[Monthly Cost Per Unit]))*12</f>
        <v>0</v>
      </c>
    </row>
    <row r="56" spans="1:9" ht="15.75" thickBot="1" x14ac:dyDescent="0.3">
      <c r="A56" s="113"/>
      <c r="B56" s="113"/>
      <c r="C56" s="114" t="s">
        <v>207</v>
      </c>
      <c r="D56" s="115"/>
      <c r="E56" s="114"/>
      <c r="F56" s="114"/>
      <c r="G56" s="117"/>
      <c r="H56" s="117">
        <f>(SUMIF(Operations186772778287929710210711211712412913413914414915415952972227[Duration],"N/A",Operations186772778287929710210711211712412913413914414915415952972227[Monthly Cost Per Unit]))*12</f>
        <v>0</v>
      </c>
    </row>
    <row r="57" spans="1:9" ht="16.5" thickTop="1" thickBot="1" x14ac:dyDescent="0.3">
      <c r="A57" s="113"/>
      <c r="B57" s="113"/>
      <c r="C57" s="114" t="s">
        <v>42</v>
      </c>
      <c r="D57" s="115"/>
      <c r="E57" s="114"/>
      <c r="F57" s="114"/>
      <c r="G57" s="117"/>
      <c r="H57" s="117">
        <f>SUM(H53:H56)</f>
        <v>0</v>
      </c>
    </row>
    <row r="58" spans="1:9" ht="15.75" thickTop="1" x14ac:dyDescent="0.25">
      <c r="A58" s="134"/>
      <c r="B58" s="134"/>
      <c r="C58" s="135"/>
      <c r="D58" s="136"/>
      <c r="E58" s="137"/>
      <c r="F58" s="137"/>
      <c r="G58" s="138"/>
    </row>
    <row r="59" spans="1:9" x14ac:dyDescent="0.25">
      <c r="A59" s="274" t="s">
        <v>69</v>
      </c>
      <c r="B59" s="274"/>
      <c r="C59" s="274"/>
      <c r="D59" s="274"/>
      <c r="E59" s="274"/>
      <c r="F59" s="274"/>
      <c r="G59" s="274"/>
      <c r="H59" s="274"/>
      <c r="I59" s="129"/>
    </row>
    <row r="60" spans="1:9" ht="27.95" customHeight="1" outlineLevel="1" x14ac:dyDescent="0.25">
      <c r="A60" s="281" t="s">
        <v>108</v>
      </c>
      <c r="B60" s="281"/>
      <c r="C60" s="281"/>
      <c r="D60" s="281"/>
      <c r="E60" s="281"/>
      <c r="F60" s="281"/>
      <c r="G60" s="281"/>
      <c r="H60" s="281"/>
      <c r="I60" s="129"/>
    </row>
    <row r="61" spans="1:9" ht="18" customHeight="1" outlineLevel="1" x14ac:dyDescent="0.25">
      <c r="A61" s="279" t="s">
        <v>70</v>
      </c>
      <c r="B61" s="279"/>
      <c r="C61" s="279"/>
      <c r="D61" s="279"/>
      <c r="E61" s="279"/>
      <c r="F61" s="279"/>
      <c r="G61" s="92"/>
      <c r="H61" s="10"/>
      <c r="I61" s="129"/>
    </row>
    <row r="62" spans="1:9" ht="45" customHeight="1" outlineLevel="1" x14ac:dyDescent="0.25">
      <c r="A62" s="278" t="s">
        <v>118</v>
      </c>
      <c r="B62" s="278"/>
      <c r="C62" s="278"/>
      <c r="D62" s="278"/>
      <c r="E62" s="278"/>
      <c r="F62" s="278"/>
      <c r="G62" s="92"/>
      <c r="H62" s="10"/>
      <c r="I62" s="129"/>
    </row>
    <row r="63" spans="1:9" ht="60.75" thickBot="1" x14ac:dyDescent="0.3">
      <c r="A63" s="128"/>
      <c r="B63" t="s">
        <v>71</v>
      </c>
      <c r="C63" s="11" t="s">
        <v>72</v>
      </c>
      <c r="D63" s="11" t="s">
        <v>73</v>
      </c>
      <c r="E63" s="11" t="s">
        <v>74</v>
      </c>
      <c r="F63" s="31" t="s">
        <v>75</v>
      </c>
      <c r="G63" s="10"/>
    </row>
    <row r="64" spans="1:9" ht="16.5" thickTop="1" thickBot="1" x14ac:dyDescent="0.3">
      <c r="A64" s="139" t="s">
        <v>76</v>
      </c>
      <c r="B64" s="90">
        <v>0</v>
      </c>
      <c r="C64" s="91">
        <v>0</v>
      </c>
      <c r="D64" s="91">
        <v>0</v>
      </c>
      <c r="E64" s="91">
        <v>0</v>
      </c>
      <c r="F64" s="140">
        <f>SUM(D64:E64)</f>
        <v>0</v>
      </c>
      <c r="G64" s="10"/>
    </row>
    <row r="65" spans="1:9" s="3" customFormat="1" ht="16.5" thickTop="1" thickBot="1" x14ac:dyDescent="0.3">
      <c r="A65" s="139" t="s">
        <v>77</v>
      </c>
      <c r="B65" s="90">
        <v>0</v>
      </c>
      <c r="C65" s="91">
        <v>0</v>
      </c>
      <c r="D65" s="91">
        <v>0</v>
      </c>
      <c r="E65" s="91">
        <v>0</v>
      </c>
      <c r="F65" s="140">
        <f t="shared" ref="F65:F71" si="0">SUM(D65:E65)</f>
        <v>0</v>
      </c>
      <c r="G65" s="10"/>
    </row>
    <row r="66" spans="1:9" ht="16.5" thickTop="1" thickBot="1" x14ac:dyDescent="0.3">
      <c r="A66" s="139" t="s">
        <v>78</v>
      </c>
      <c r="B66" s="90">
        <v>0</v>
      </c>
      <c r="C66" s="91">
        <v>0</v>
      </c>
      <c r="D66" s="91">
        <v>0</v>
      </c>
      <c r="E66" s="91">
        <v>0</v>
      </c>
      <c r="F66" s="140">
        <f t="shared" si="0"/>
        <v>0</v>
      </c>
      <c r="G66" s="10"/>
    </row>
    <row r="67" spans="1:9" ht="16.5" thickTop="1" thickBot="1" x14ac:dyDescent="0.3">
      <c r="A67" s="139" t="s">
        <v>79</v>
      </c>
      <c r="B67" s="90">
        <v>0</v>
      </c>
      <c r="C67" s="91">
        <v>0</v>
      </c>
      <c r="D67" s="91">
        <v>0</v>
      </c>
      <c r="E67" s="91">
        <v>0</v>
      </c>
      <c r="F67" s="140">
        <f t="shared" si="0"/>
        <v>0</v>
      </c>
      <c r="G67" s="10"/>
    </row>
    <row r="68" spans="1:9" ht="16.5" thickTop="1" thickBot="1" x14ac:dyDescent="0.3">
      <c r="A68" s="139" t="s">
        <v>80</v>
      </c>
      <c r="B68" s="90">
        <v>0</v>
      </c>
      <c r="C68" s="91">
        <v>0</v>
      </c>
      <c r="D68" s="91">
        <v>0</v>
      </c>
      <c r="E68" s="91">
        <v>0</v>
      </c>
      <c r="F68" s="140">
        <f t="shared" si="0"/>
        <v>0</v>
      </c>
      <c r="G68" s="10"/>
    </row>
    <row r="69" spans="1:9" ht="16.5" thickTop="1" thickBot="1" x14ac:dyDescent="0.3">
      <c r="A69" s="139" t="s">
        <v>81</v>
      </c>
      <c r="B69" s="90">
        <v>0</v>
      </c>
      <c r="C69" s="91">
        <v>0</v>
      </c>
      <c r="D69" s="91">
        <v>0</v>
      </c>
      <c r="E69" s="91">
        <v>0</v>
      </c>
      <c r="F69" s="140">
        <f t="shared" si="0"/>
        <v>0</v>
      </c>
      <c r="G69" s="10"/>
    </row>
    <row r="70" spans="1:9" ht="16.5" thickTop="1" thickBot="1" x14ac:dyDescent="0.3">
      <c r="A70" s="139" t="s">
        <v>82</v>
      </c>
      <c r="B70" s="90">
        <v>0</v>
      </c>
      <c r="C70" s="91">
        <v>0</v>
      </c>
      <c r="D70" s="91">
        <v>0</v>
      </c>
      <c r="E70" s="91">
        <v>0</v>
      </c>
      <c r="F70" s="140">
        <f t="shared" si="0"/>
        <v>0</v>
      </c>
      <c r="G70" s="10"/>
    </row>
    <row r="71" spans="1:9" ht="16.5" thickTop="1" thickBot="1" x14ac:dyDescent="0.3">
      <c r="A71" s="139" t="s">
        <v>83</v>
      </c>
      <c r="B71" s="90">
        <v>0</v>
      </c>
      <c r="C71" s="91">
        <v>0</v>
      </c>
      <c r="D71" s="91">
        <v>0</v>
      </c>
      <c r="E71" s="91">
        <v>0</v>
      </c>
      <c r="F71" s="140">
        <f t="shared" si="0"/>
        <v>0</v>
      </c>
      <c r="G71" s="10"/>
    </row>
    <row r="72" spans="1:9" ht="15.75" thickTop="1" x14ac:dyDescent="0.25">
      <c r="A72" s="141" t="s">
        <v>21</v>
      </c>
      <c r="C72" s="142" t="e">
        <f>SUM((C64*B64),(C65*B65),(C66*B66),(C67*B67),(C68*B68),(C69*B69),(C70*B70),(C71*B71))/(SUM(B64:B71))</f>
        <v>#DIV/0!</v>
      </c>
      <c r="D72" s="142" t="e">
        <f>SUM((D64*B64),(D65*B65),(D66*B66),(D67*B67),(D68*B68),(D69*B69),(D70*B70),(D71*B71))/(SUM(B64:B71))</f>
        <v>#DIV/0!</v>
      </c>
      <c r="E72" s="142" t="e">
        <f>SUM((E64*B64),(E65*B65),(E66*B66),(E67*B67),(E68*B68),(E69*B69),(E70*B70),(E71*B71))/(SUM(B64:B71))</f>
        <v>#DIV/0!</v>
      </c>
      <c r="F72" s="143" t="e">
        <f>SUM((F64*B64),(F65*B65),(F66*B66),(F67*B67),(F68*B68),(F69*B69),(F70*B70),(F71*B71))/(SUM(B64:B71))</f>
        <v>#DIV/0!</v>
      </c>
      <c r="G72" s="10"/>
    </row>
    <row r="73" spans="1:9" x14ac:dyDescent="0.25">
      <c r="A73" s="144"/>
      <c r="B73" s="145"/>
      <c r="C73" s="145"/>
      <c r="E73" s="10"/>
      <c r="F73" s="10"/>
      <c r="G73" s="129"/>
    </row>
    <row r="74" spans="1:9" x14ac:dyDescent="0.25">
      <c r="A74" s="279" t="s">
        <v>84</v>
      </c>
      <c r="B74" s="279"/>
      <c r="C74" s="279"/>
      <c r="D74" s="279"/>
      <c r="E74" s="279"/>
      <c r="F74" s="279"/>
      <c r="G74" s="279"/>
      <c r="H74" s="279"/>
    </row>
    <row r="75" spans="1:9" s="1" customFormat="1" ht="50.25" customHeight="1" outlineLevel="1" x14ac:dyDescent="0.25">
      <c r="A75" s="278" t="s">
        <v>119</v>
      </c>
      <c r="B75" s="278"/>
      <c r="C75" s="278"/>
      <c r="D75" s="278"/>
      <c r="E75" s="278"/>
      <c r="F75" s="278"/>
      <c r="G75" s="278"/>
      <c r="H75" s="278"/>
      <c r="I75"/>
    </row>
    <row r="76" spans="1:9" s="3" customFormat="1" ht="28.35" customHeight="1" x14ac:dyDescent="0.25">
      <c r="A76" s="131" t="s">
        <v>51</v>
      </c>
      <c r="B76" s="131" t="s">
        <v>52</v>
      </c>
      <c r="C76" s="131" t="s">
        <v>53</v>
      </c>
      <c r="D76" s="131" t="s">
        <v>54</v>
      </c>
      <c r="E76" s="131" t="s">
        <v>55</v>
      </c>
      <c r="F76" s="131" t="s">
        <v>56</v>
      </c>
      <c r="G76" s="131" t="s">
        <v>57</v>
      </c>
      <c r="H76" s="132" t="s">
        <v>20</v>
      </c>
    </row>
    <row r="77" spans="1:9" x14ac:dyDescent="0.25">
      <c r="A77" s="75"/>
      <c r="B77" s="75"/>
      <c r="C77" s="77"/>
      <c r="D77" s="78"/>
      <c r="E77" s="79"/>
      <c r="F77" s="79"/>
      <c r="G77" s="53" t="e" cm="1">
        <f t="array" ref="G77">_xlfn.IFS(RentalAssistance196873788388939810310811311812513013514014515015516053982328[[#This Row],[Unit]]="Program-wide",((_xlfn.IFS(RentalAssistance196873788388939810310811311812513013514014515015516053982328[[#This Row],[Frequency]]="Per Year",RentalAssistance196873788388939810310811311812513013514014515015516053982328[[#This Row],[Cost]]/12,RentalAssistance196873788388939810310811311812513013514014515015516053982328[[#This Row],[Frequency]]="Per month",RentalAssistance196873788388939810310811311812513013514014515015516053982328[[#This Row],[Cost]],RentalAssistance196873788388939810310811311812513013514014515015516053982328[[#This Row],[Frequency]]="Per day",RentalAssistance196873788388939810310811311812513013514014515015516053982328[[#This Row],[Cost]]*30,RentalAssistance196873788388939810310811311812513013514014515015516053982328[[#This Row],[Frequency]]="One-time",RentalAssistance196873788388939810310811311812513013514014515015516053982328[[#This Row],[Cost]]/SUM($C$18,$C$19)))/$C$17),RentalAssistance196873788388939810310811311812513013514014515015516053982328[[#This Row],[Unit]]="Per unit/space/household",(_xlfn.IFS(RentalAssistance196873788388939810310811311812513013514014515015516053982328[[#This Row],[Frequency]]="Per Year",RentalAssistance196873788388939810310811311812513013514014515015516053982328[[#This Row],[Cost]]/12,RentalAssistance196873788388939810310811311812513013514014515015516053982328[[#This Row],[Frequency]]="Per month",RentalAssistance196873788388939810310811311812513013514014515015516053982328[[#This Row],[Cost]],RentalAssistance196873788388939810310811311812513013514014515015516053982328[[#This Row],[Frequency]]="Per day",RentalAssistance196873788388939810310811311812513013514014515015516053982328[[#This Row],[Cost]]*30,RentalAssistance196873788388939810310811311812513013514014515015516053982328[[#This Row],[Frequency]]="One-time",RentalAssistance196873788388939810310811311812513013514014515015516053982328[[#This Row],[Cost]]/SUM($C$18,$C$19))))</f>
        <v>#N/A</v>
      </c>
      <c r="H77" s="46" t="e">
        <f>RentalAssistance196873788388939810310811311812513013514014515015516053982328[[#This Row],[Monthly Cost Per Unit]]*12</f>
        <v>#N/A</v>
      </c>
    </row>
    <row r="78" spans="1:9" x14ac:dyDescent="0.25">
      <c r="A78" s="75"/>
      <c r="B78" s="75"/>
      <c r="C78" s="77"/>
      <c r="D78" s="78"/>
      <c r="E78" s="79"/>
      <c r="F78" s="79"/>
      <c r="G78" s="53" t="e" cm="1">
        <f t="array" ref="G78">_xlfn.IFS(RentalAssistance196873788388939810310811311812513013514014515015516053982328[[#This Row],[Unit]]="Program-wide",((_xlfn.IFS(RentalAssistance196873788388939810310811311812513013514014515015516053982328[[#This Row],[Frequency]]="Per Year",RentalAssistance196873788388939810310811311812513013514014515015516053982328[[#This Row],[Cost]]/12,RentalAssistance196873788388939810310811311812513013514014515015516053982328[[#This Row],[Frequency]]="Per month",RentalAssistance196873788388939810310811311812513013514014515015516053982328[[#This Row],[Cost]],RentalAssistance196873788388939810310811311812513013514014515015516053982328[[#This Row],[Frequency]]="Per day",RentalAssistance196873788388939810310811311812513013514014515015516053982328[[#This Row],[Cost]]*30,RentalAssistance196873788388939810310811311812513013514014515015516053982328[[#This Row],[Frequency]]="One-time",RentalAssistance196873788388939810310811311812513013514014515015516053982328[[#This Row],[Cost]]/SUM($C$18,$C$19)))/$C$17),RentalAssistance196873788388939810310811311812513013514014515015516053982328[[#This Row],[Unit]]="Per unit/space/household",(_xlfn.IFS(RentalAssistance196873788388939810310811311812513013514014515015516053982328[[#This Row],[Frequency]]="Per Year",RentalAssistance196873788388939810310811311812513013514014515015516053982328[[#This Row],[Cost]]/12,RentalAssistance196873788388939810310811311812513013514014515015516053982328[[#This Row],[Frequency]]="Per month",RentalAssistance196873788388939810310811311812513013514014515015516053982328[[#This Row],[Cost]],RentalAssistance196873788388939810310811311812513013514014515015516053982328[[#This Row],[Frequency]]="Per day",RentalAssistance196873788388939810310811311812513013514014515015516053982328[[#This Row],[Cost]]*30,RentalAssistance196873788388939810310811311812513013514014515015516053982328[[#This Row],[Frequency]]="One-time",RentalAssistance196873788388939810310811311812513013514014515015516053982328[[#This Row],[Cost]]/SUM($C$18,$C$19))))</f>
        <v>#N/A</v>
      </c>
      <c r="H78" s="46" t="e">
        <f>RentalAssistance196873788388939810310811311812513013514014515015516053982328[[#This Row],[Monthly Cost Per Unit]]*12</f>
        <v>#N/A</v>
      </c>
    </row>
    <row r="79" spans="1:9" x14ac:dyDescent="0.25">
      <c r="A79" s="75"/>
      <c r="B79" s="75"/>
      <c r="C79" s="77"/>
      <c r="D79" s="78"/>
      <c r="E79" s="79"/>
      <c r="F79" s="79"/>
      <c r="G79" s="53" t="e" cm="1">
        <f t="array" ref="G79">_xlfn.IFS(RentalAssistance196873788388939810310811311812513013514014515015516053982328[[#This Row],[Unit]]="Program-wide",((_xlfn.IFS(RentalAssistance196873788388939810310811311812513013514014515015516053982328[[#This Row],[Frequency]]="Per Year",RentalAssistance196873788388939810310811311812513013514014515015516053982328[[#This Row],[Cost]]/12,RentalAssistance196873788388939810310811311812513013514014515015516053982328[[#This Row],[Frequency]]="Per month",RentalAssistance196873788388939810310811311812513013514014515015516053982328[[#This Row],[Cost]],RentalAssistance196873788388939810310811311812513013514014515015516053982328[[#This Row],[Frequency]]="Per day",RentalAssistance196873788388939810310811311812513013514014515015516053982328[[#This Row],[Cost]]*30,RentalAssistance196873788388939810310811311812513013514014515015516053982328[[#This Row],[Frequency]]="One-time",RentalAssistance196873788388939810310811311812513013514014515015516053982328[[#This Row],[Cost]]/SUM($C$18,$C$19)))/$C$17),RentalAssistance196873788388939810310811311812513013514014515015516053982328[[#This Row],[Unit]]="Per unit/space/household",(_xlfn.IFS(RentalAssistance196873788388939810310811311812513013514014515015516053982328[[#This Row],[Frequency]]="Per Year",RentalAssistance196873788388939810310811311812513013514014515015516053982328[[#This Row],[Cost]]/12,RentalAssistance196873788388939810310811311812513013514014515015516053982328[[#This Row],[Frequency]]="Per month",RentalAssistance196873788388939810310811311812513013514014515015516053982328[[#This Row],[Cost]],RentalAssistance196873788388939810310811311812513013514014515015516053982328[[#This Row],[Frequency]]="Per day",RentalAssistance196873788388939810310811311812513013514014515015516053982328[[#This Row],[Cost]]*30,RentalAssistance196873788388939810310811311812513013514014515015516053982328[[#This Row],[Frequency]]="One-time",RentalAssistance196873788388939810310811311812513013514014515015516053982328[[#This Row],[Cost]]/SUM($C$18,$C$19))))</f>
        <v>#N/A</v>
      </c>
      <c r="H79" s="46" t="e">
        <f>RentalAssistance196873788388939810310811311812513013514014515015516053982328[[#This Row],[Monthly Cost Per Unit]]*12</f>
        <v>#N/A</v>
      </c>
    </row>
    <row r="80" spans="1:9" x14ac:dyDescent="0.25">
      <c r="A80" s="75"/>
      <c r="B80" s="75"/>
      <c r="C80" s="77"/>
      <c r="D80" s="78"/>
      <c r="E80" s="79"/>
      <c r="F80" s="79"/>
      <c r="G80" s="53" t="e" cm="1">
        <f t="array" ref="G80">_xlfn.IFS(RentalAssistance196873788388939810310811311812513013514014515015516053982328[[#This Row],[Unit]]="Program-wide",((_xlfn.IFS(RentalAssistance196873788388939810310811311812513013514014515015516053982328[[#This Row],[Frequency]]="Per Year",RentalAssistance196873788388939810310811311812513013514014515015516053982328[[#This Row],[Cost]]/12,RentalAssistance196873788388939810310811311812513013514014515015516053982328[[#This Row],[Frequency]]="Per month",RentalAssistance196873788388939810310811311812513013514014515015516053982328[[#This Row],[Cost]],RentalAssistance196873788388939810310811311812513013514014515015516053982328[[#This Row],[Frequency]]="Per day",RentalAssistance196873788388939810310811311812513013514014515015516053982328[[#This Row],[Cost]]*30,RentalAssistance196873788388939810310811311812513013514014515015516053982328[[#This Row],[Frequency]]="One-time",RentalAssistance196873788388939810310811311812513013514014515015516053982328[[#This Row],[Cost]]/SUM($C$18,$C$19)))/$C$17),RentalAssistance196873788388939810310811311812513013514014515015516053982328[[#This Row],[Unit]]="Per unit/space/household",(_xlfn.IFS(RentalAssistance196873788388939810310811311812513013514014515015516053982328[[#This Row],[Frequency]]="Per Year",RentalAssistance196873788388939810310811311812513013514014515015516053982328[[#This Row],[Cost]]/12,RentalAssistance196873788388939810310811311812513013514014515015516053982328[[#This Row],[Frequency]]="Per month",RentalAssistance196873788388939810310811311812513013514014515015516053982328[[#This Row],[Cost]],RentalAssistance196873788388939810310811311812513013514014515015516053982328[[#This Row],[Frequency]]="Per day",RentalAssistance196873788388939810310811311812513013514014515015516053982328[[#This Row],[Cost]]*30,RentalAssistance196873788388939810310811311812513013514014515015516053982328[[#This Row],[Frequency]]="One-time",RentalAssistance196873788388939810310811311812513013514014515015516053982328[[#This Row],[Cost]]/SUM($C$18,$C$19))))</f>
        <v>#N/A</v>
      </c>
      <c r="H80" s="46" t="e">
        <f>RentalAssistance196873788388939810310811311812513013514014515015516053982328[[#This Row],[Monthly Cost Per Unit]]*12</f>
        <v>#N/A</v>
      </c>
    </row>
    <row r="81" spans="1:8" x14ac:dyDescent="0.25">
      <c r="A81" s="75"/>
      <c r="B81" s="75"/>
      <c r="C81" s="77"/>
      <c r="D81" s="78"/>
      <c r="E81" s="79"/>
      <c r="F81" s="79"/>
      <c r="G81" s="53" t="e" cm="1">
        <f t="array" ref="G81">_xlfn.IFS(RentalAssistance196873788388939810310811311812513013514014515015516053982328[[#This Row],[Unit]]="Program-wide",((_xlfn.IFS(RentalAssistance196873788388939810310811311812513013514014515015516053982328[[#This Row],[Frequency]]="Per Year",RentalAssistance196873788388939810310811311812513013514014515015516053982328[[#This Row],[Cost]]/12,RentalAssistance196873788388939810310811311812513013514014515015516053982328[[#This Row],[Frequency]]="Per month",RentalAssistance196873788388939810310811311812513013514014515015516053982328[[#This Row],[Cost]],RentalAssistance196873788388939810310811311812513013514014515015516053982328[[#This Row],[Frequency]]="Per day",RentalAssistance196873788388939810310811311812513013514014515015516053982328[[#This Row],[Cost]]*30,RentalAssistance196873788388939810310811311812513013514014515015516053982328[[#This Row],[Frequency]]="One-time",RentalAssistance196873788388939810310811311812513013514014515015516053982328[[#This Row],[Cost]]/SUM($C$18,$C$19)))/$C$17),RentalAssistance196873788388939810310811311812513013514014515015516053982328[[#This Row],[Unit]]="Per unit/space/household",(_xlfn.IFS(RentalAssistance196873788388939810310811311812513013514014515015516053982328[[#This Row],[Frequency]]="Per Year",RentalAssistance196873788388939810310811311812513013514014515015516053982328[[#This Row],[Cost]]/12,RentalAssistance196873788388939810310811311812513013514014515015516053982328[[#This Row],[Frequency]]="Per month",RentalAssistance196873788388939810310811311812513013514014515015516053982328[[#This Row],[Cost]],RentalAssistance196873788388939810310811311812513013514014515015516053982328[[#This Row],[Frequency]]="Per day",RentalAssistance196873788388939810310811311812513013514014515015516053982328[[#This Row],[Cost]]*30,RentalAssistance196873788388939810310811311812513013514014515015516053982328[[#This Row],[Frequency]]="One-time",RentalAssistance196873788388939810310811311812513013514014515015516053982328[[#This Row],[Cost]]/SUM($C$18,$C$19))))</f>
        <v>#N/A</v>
      </c>
      <c r="H81" s="46" t="e">
        <f>RentalAssistance196873788388939810310811311812513013514014515015516053982328[[#This Row],[Monthly Cost Per Unit]]*12</f>
        <v>#N/A</v>
      </c>
    </row>
    <row r="82" spans="1:8" x14ac:dyDescent="0.25">
      <c r="A82" s="75"/>
      <c r="B82" s="75"/>
      <c r="C82" s="77"/>
      <c r="D82" s="78"/>
      <c r="E82" s="79"/>
      <c r="F82" s="79"/>
      <c r="G82" s="53" t="e" cm="1">
        <f t="array" ref="G82">_xlfn.IFS(RentalAssistance196873788388939810310811311812513013514014515015516053982328[[#This Row],[Unit]]="Program-wide",((_xlfn.IFS(RentalAssistance196873788388939810310811311812513013514014515015516053982328[[#This Row],[Frequency]]="Per Year",RentalAssistance196873788388939810310811311812513013514014515015516053982328[[#This Row],[Cost]]/12,RentalAssistance196873788388939810310811311812513013514014515015516053982328[[#This Row],[Frequency]]="Per month",RentalAssistance196873788388939810310811311812513013514014515015516053982328[[#This Row],[Cost]],RentalAssistance196873788388939810310811311812513013514014515015516053982328[[#This Row],[Frequency]]="Per day",RentalAssistance196873788388939810310811311812513013514014515015516053982328[[#This Row],[Cost]]*30,RentalAssistance196873788388939810310811311812513013514014515015516053982328[[#This Row],[Frequency]]="One-time",RentalAssistance196873788388939810310811311812513013514014515015516053982328[[#This Row],[Cost]]/SUM($C$18,$C$19)))/$C$17),RentalAssistance196873788388939810310811311812513013514014515015516053982328[[#This Row],[Unit]]="Per unit/space/household",(_xlfn.IFS(RentalAssistance196873788388939810310811311812513013514014515015516053982328[[#This Row],[Frequency]]="Per Year",RentalAssistance196873788388939810310811311812513013514014515015516053982328[[#This Row],[Cost]]/12,RentalAssistance196873788388939810310811311812513013514014515015516053982328[[#This Row],[Frequency]]="Per month",RentalAssistance196873788388939810310811311812513013514014515015516053982328[[#This Row],[Cost]],RentalAssistance196873788388939810310811311812513013514014515015516053982328[[#This Row],[Frequency]]="Per day",RentalAssistance196873788388939810310811311812513013514014515015516053982328[[#This Row],[Cost]]*30,RentalAssistance196873788388939810310811311812513013514014515015516053982328[[#This Row],[Frequency]]="One-time",RentalAssistance196873788388939810310811311812513013514014515015516053982328[[#This Row],[Cost]]/SUM($C$18,$C$19))))</f>
        <v>#N/A</v>
      </c>
      <c r="H82" s="46" t="e">
        <f>RentalAssistance196873788388939810310811311812513013514014515015516053982328[[#This Row],[Monthly Cost Per Unit]]*12</f>
        <v>#N/A</v>
      </c>
    </row>
    <row r="83" spans="1:8" x14ac:dyDescent="0.25">
      <c r="A83" s="75"/>
      <c r="B83" s="75"/>
      <c r="C83" s="77"/>
      <c r="D83" s="78"/>
      <c r="E83" s="79"/>
      <c r="F83" s="79"/>
      <c r="G83" s="53" t="e" cm="1">
        <f t="array" ref="G83">_xlfn.IFS(RentalAssistance196873788388939810310811311812513013514014515015516053982328[[#This Row],[Unit]]="Program-wide",((_xlfn.IFS(RentalAssistance196873788388939810310811311812513013514014515015516053982328[[#This Row],[Frequency]]="Per Year",RentalAssistance196873788388939810310811311812513013514014515015516053982328[[#This Row],[Cost]]/12,RentalAssistance196873788388939810310811311812513013514014515015516053982328[[#This Row],[Frequency]]="Per month",RentalAssistance196873788388939810310811311812513013514014515015516053982328[[#This Row],[Cost]],RentalAssistance196873788388939810310811311812513013514014515015516053982328[[#This Row],[Frequency]]="Per day",RentalAssistance196873788388939810310811311812513013514014515015516053982328[[#This Row],[Cost]]*30,RentalAssistance196873788388939810310811311812513013514014515015516053982328[[#This Row],[Frequency]]="One-time",RentalAssistance196873788388939810310811311812513013514014515015516053982328[[#This Row],[Cost]]/SUM($C$18,$C$19)))/$C$17),RentalAssistance196873788388939810310811311812513013514014515015516053982328[[#This Row],[Unit]]="Per unit/space/household",(_xlfn.IFS(RentalAssistance196873788388939810310811311812513013514014515015516053982328[[#This Row],[Frequency]]="Per Year",RentalAssistance196873788388939810310811311812513013514014515015516053982328[[#This Row],[Cost]]/12,RentalAssistance196873788388939810310811311812513013514014515015516053982328[[#This Row],[Frequency]]="Per month",RentalAssistance196873788388939810310811311812513013514014515015516053982328[[#This Row],[Cost]],RentalAssistance196873788388939810310811311812513013514014515015516053982328[[#This Row],[Frequency]]="Per day",RentalAssistance196873788388939810310811311812513013514014515015516053982328[[#This Row],[Cost]]*30,RentalAssistance196873788388939810310811311812513013514014515015516053982328[[#This Row],[Frequency]]="One-time",RentalAssistance196873788388939810310811311812513013514014515015516053982328[[#This Row],[Cost]]/SUM($C$18,$C$19))))</f>
        <v>#N/A</v>
      </c>
      <c r="H83" s="46" t="e">
        <f>RentalAssistance196873788388939810310811311812513013514014515015516053982328[[#This Row],[Monthly Cost Per Unit]]*12</f>
        <v>#N/A</v>
      </c>
    </row>
    <row r="84" spans="1:8" x14ac:dyDescent="0.25">
      <c r="A84" s="75"/>
      <c r="B84" s="75"/>
      <c r="C84" s="77"/>
      <c r="D84" s="78"/>
      <c r="E84" s="79"/>
      <c r="F84" s="79"/>
      <c r="G84" s="53" t="e" cm="1">
        <f t="array" ref="G84">_xlfn.IFS(RentalAssistance196873788388939810310811311812513013514014515015516053982328[[#This Row],[Unit]]="Program-wide",((_xlfn.IFS(RentalAssistance196873788388939810310811311812513013514014515015516053982328[[#This Row],[Frequency]]="Per Year",RentalAssistance196873788388939810310811311812513013514014515015516053982328[[#This Row],[Cost]]/12,RentalAssistance196873788388939810310811311812513013514014515015516053982328[[#This Row],[Frequency]]="Per month",RentalAssistance196873788388939810310811311812513013514014515015516053982328[[#This Row],[Cost]],RentalAssistance196873788388939810310811311812513013514014515015516053982328[[#This Row],[Frequency]]="Per day",RentalAssistance196873788388939810310811311812513013514014515015516053982328[[#This Row],[Cost]]*30,RentalAssistance196873788388939810310811311812513013514014515015516053982328[[#This Row],[Frequency]]="One-time",RentalAssistance196873788388939810310811311812513013514014515015516053982328[[#This Row],[Cost]]/SUM($C$18,$C$19)))/$C$17),RentalAssistance196873788388939810310811311812513013514014515015516053982328[[#This Row],[Unit]]="Per unit/space/household",(_xlfn.IFS(RentalAssistance196873788388939810310811311812513013514014515015516053982328[[#This Row],[Frequency]]="Per Year",RentalAssistance196873788388939810310811311812513013514014515015516053982328[[#This Row],[Cost]]/12,RentalAssistance196873788388939810310811311812513013514014515015516053982328[[#This Row],[Frequency]]="Per month",RentalAssistance196873788388939810310811311812513013514014515015516053982328[[#This Row],[Cost]],RentalAssistance196873788388939810310811311812513013514014515015516053982328[[#This Row],[Frequency]]="Per day",RentalAssistance196873788388939810310811311812513013514014515015516053982328[[#This Row],[Cost]]*30,RentalAssistance196873788388939810310811311812513013514014515015516053982328[[#This Row],[Frequency]]="One-time",RentalAssistance196873788388939810310811311812513013514014515015516053982328[[#This Row],[Cost]]/SUM($C$18,$C$19))))</f>
        <v>#N/A</v>
      </c>
      <c r="H84" s="46" t="e">
        <f>RentalAssistance196873788388939810310811311812513013514014515015516053982328[[#This Row],[Monthly Cost Per Unit]]*12</f>
        <v>#N/A</v>
      </c>
    </row>
    <row r="85" spans="1:8" x14ac:dyDescent="0.25">
      <c r="A85" s="80"/>
      <c r="B85" s="80"/>
      <c r="C85" s="82"/>
      <c r="D85" s="83"/>
      <c r="E85" s="84"/>
      <c r="F85" s="84"/>
      <c r="G85" s="55" t="e" cm="1">
        <f t="array" ref="G85">_xlfn.IFS(RentalAssistance196873788388939810310811311812513013514014515015516053982328[[#This Row],[Unit]]="Program-wide",((_xlfn.IFS(RentalAssistance196873788388939810310811311812513013514014515015516053982328[[#This Row],[Frequency]]="Per Year",RentalAssistance196873788388939810310811311812513013514014515015516053982328[[#This Row],[Cost]]/12,RentalAssistance196873788388939810310811311812513013514014515015516053982328[[#This Row],[Frequency]]="Per month",RentalAssistance196873788388939810310811311812513013514014515015516053982328[[#This Row],[Cost]],RentalAssistance196873788388939810310811311812513013514014515015516053982328[[#This Row],[Frequency]]="Per day",RentalAssistance196873788388939810310811311812513013514014515015516053982328[[#This Row],[Cost]]*30,RentalAssistance196873788388939810310811311812513013514014515015516053982328[[#This Row],[Frequency]]="One-time",RentalAssistance196873788388939810310811311812513013514014515015516053982328[[#This Row],[Cost]]/SUM($C$18,$C$19)))/$C$17),RentalAssistance196873788388939810310811311812513013514014515015516053982328[[#This Row],[Unit]]="Per unit/space/household",(_xlfn.IFS(RentalAssistance196873788388939810310811311812513013514014515015516053982328[[#This Row],[Frequency]]="Per Year",RentalAssistance196873788388939810310811311812513013514014515015516053982328[[#This Row],[Cost]]/12,RentalAssistance196873788388939810310811311812513013514014515015516053982328[[#This Row],[Frequency]]="Per month",RentalAssistance196873788388939810310811311812513013514014515015516053982328[[#This Row],[Cost]],RentalAssistance196873788388939810310811311812513013514014515015516053982328[[#This Row],[Frequency]]="Per day",RentalAssistance196873788388939810310811311812513013514014515015516053982328[[#This Row],[Cost]]*30,RentalAssistance196873788388939810310811311812513013514014515015516053982328[[#This Row],[Frequency]]="One-time",RentalAssistance196873788388939810310811311812513013514014515015516053982328[[#This Row],[Cost]]/SUM($C$18,$C$19))))</f>
        <v>#N/A</v>
      </c>
      <c r="H85" s="46" t="e">
        <f>RentalAssistance196873788388939810310811311812513013514014515015516053982328[[#This Row],[Monthly Cost Per Unit]]*12</f>
        <v>#N/A</v>
      </c>
    </row>
    <row r="86" spans="1:8" x14ac:dyDescent="0.25">
      <c r="A86" s="107" t="s">
        <v>20</v>
      </c>
      <c r="B86" s="107"/>
      <c r="C86" s="108" t="s">
        <v>68</v>
      </c>
      <c r="D86" s="109"/>
      <c r="E86" s="108"/>
      <c r="F86" s="108"/>
      <c r="G86" s="118"/>
      <c r="H86" s="111">
        <f>(SUMIF(RentalAssistance196873788388939810310811311812513013514014515015516053982328[Duration],"While homeless only",RentalAssistance196873788388939810310811311812513013514014515015516053982328[Monthly Cost Per Unit]))*12</f>
        <v>0</v>
      </c>
    </row>
    <row r="87" spans="1:8" x14ac:dyDescent="0.25">
      <c r="A87" s="112"/>
      <c r="B87" s="112"/>
      <c r="C87" s="108" t="s">
        <v>63</v>
      </c>
      <c r="D87" s="109"/>
      <c r="E87" s="108"/>
      <c r="F87" s="108"/>
      <c r="G87" s="111"/>
      <c r="H87" s="111">
        <f>(SUMIF(RentalAssistance196873788388939810310811311812513013514014515015516053982328[Duration],"While housed only",RentalAssistance196873788388939810310811311812513013514014515015516053982328[Monthly Cost Per Unit]))*12</f>
        <v>0</v>
      </c>
    </row>
    <row r="88" spans="1:8" x14ac:dyDescent="0.25">
      <c r="A88" s="112"/>
      <c r="B88" s="112"/>
      <c r="C88" s="108" t="s">
        <v>58</v>
      </c>
      <c r="D88" s="109"/>
      <c r="E88" s="108"/>
      <c r="F88" s="108"/>
      <c r="G88" s="111"/>
      <c r="H88" s="111">
        <f>(SUMIF(RentalAssistance196873788388939810310811311812513013514014515015516053982328[Duration],"Homeless &amp; housed",RentalAssistance196873788388939810310811311812513013514014515015516053982328[Monthly Cost Per Unit]))*12</f>
        <v>0</v>
      </c>
    </row>
    <row r="89" spans="1:8" ht="15.75" thickBot="1" x14ac:dyDescent="0.3">
      <c r="A89" s="113"/>
      <c r="B89" s="113"/>
      <c r="C89" s="114" t="s">
        <v>207</v>
      </c>
      <c r="D89" s="115"/>
      <c r="E89" s="114"/>
      <c r="F89" s="114"/>
      <c r="G89" s="117"/>
      <c r="H89" s="117">
        <f>(SUMIF(RentalAssistance196873788388939810310811311812513013514014515015516053982328[Duration],"N/A",RentalAssistance196873788388939810310811311812513013514014515015516053982328[Monthly Cost Per Unit]))*12</f>
        <v>0</v>
      </c>
    </row>
    <row r="90" spans="1:8" ht="16.5" thickTop="1" thickBot="1" x14ac:dyDescent="0.3">
      <c r="A90" s="113"/>
      <c r="B90" s="113"/>
      <c r="C90" s="114" t="s">
        <v>42</v>
      </c>
      <c r="D90" s="115"/>
      <c r="E90" s="114"/>
      <c r="F90" s="114"/>
      <c r="G90" s="117"/>
      <c r="H90" s="117">
        <f>SUM(H86:H89)</f>
        <v>0</v>
      </c>
    </row>
    <row r="91" spans="1:8" ht="15.75" thickTop="1" x14ac:dyDescent="0.25">
      <c r="A91" s="146"/>
      <c r="B91" s="137"/>
      <c r="C91" s="137"/>
      <c r="D91" s="137"/>
      <c r="E91" s="137"/>
      <c r="F91" s="138"/>
      <c r="G91"/>
      <c r="H91" s="128"/>
    </row>
    <row r="92" spans="1:8" x14ac:dyDescent="0.25">
      <c r="A92" s="274" t="s">
        <v>88</v>
      </c>
      <c r="B92" s="274"/>
      <c r="C92" s="274"/>
      <c r="D92" s="274"/>
      <c r="E92" s="274"/>
      <c r="F92" s="274"/>
      <c r="G92" s="274"/>
      <c r="H92" s="274"/>
    </row>
    <row r="93" spans="1:8" ht="32.25" customHeight="1" outlineLevel="1" x14ac:dyDescent="0.25">
      <c r="A93" s="294" t="s">
        <v>89</v>
      </c>
      <c r="B93" s="294"/>
      <c r="C93" s="294"/>
      <c r="D93" s="294"/>
      <c r="E93" s="294"/>
      <c r="F93" s="294"/>
      <c r="G93" s="294"/>
      <c r="H93" s="294"/>
    </row>
    <row r="94" spans="1:8" ht="30" x14ac:dyDescent="0.25">
      <c r="A94" s="131" t="s">
        <v>51</v>
      </c>
      <c r="B94" s="131" t="s">
        <v>52</v>
      </c>
      <c r="C94" s="131" t="s">
        <v>53</v>
      </c>
      <c r="D94" s="131" t="s">
        <v>54</v>
      </c>
      <c r="E94" s="131" t="s">
        <v>55</v>
      </c>
      <c r="F94" s="131" t="s">
        <v>56</v>
      </c>
      <c r="G94" s="131" t="s">
        <v>57</v>
      </c>
      <c r="H94" s="132" t="s">
        <v>20</v>
      </c>
    </row>
    <row r="95" spans="1:8" x14ac:dyDescent="0.25">
      <c r="A95" s="75"/>
      <c r="B95" s="75"/>
      <c r="C95" s="77"/>
      <c r="D95" s="78"/>
      <c r="E95" s="79"/>
      <c r="F95" s="76"/>
      <c r="G95" s="53" t="e" cm="1">
        <f t="array" ref="G95">_xlfn.IFS(Services1106974798489949910410911411912613113614114615115616154992429[[#This Row],[Unit]]="Program-wide",((_xlfn.IFS(Services1106974798489949910410911411912613113614114615115616154992429[[#This Row],[Frequency]]="Per Year",Services1106974798489949910410911411912613113614114615115616154992429[[#This Row],[Cost]]/12,Services1106974798489949910410911411912613113614114615115616154992429[[#This Row],[Frequency]]="Per month",Services1106974798489949910410911411912613113614114615115616154992429[[#This Row],[Cost]],Services1106974798489949910410911411912613113614114615115616154992429[[#This Row],[Frequency]]="Per day",Services1106974798489949910410911411912613113614114615115616154992429[[#This Row],[Cost]]*30,Services1106974798489949910410911411912613113614114615115616154992429[[#This Row],[Frequency]]="One-time",Services1106974798489949910410911411912613113614114615115616154992429[[#This Row],[Cost]]/SUM($C$18,$C$19)))/$C$17),Services1106974798489949910410911411912613113614114615115616154992429[[#This Row],[Unit]]="Per unit/space/household",(_xlfn.IFS(Services1106974798489949910410911411912613113614114615115616154992429[[#This Row],[Frequency]]="Per Year",Services1106974798489949910410911411912613113614114615115616154992429[[#This Row],[Cost]]/12,Services1106974798489949910410911411912613113614114615115616154992429[[#This Row],[Frequency]]="Per month",Services1106974798489949910410911411912613113614114615115616154992429[[#This Row],[Cost]],Services1106974798489949910410911411912613113614114615115616154992429[[#This Row],[Frequency]]="Per day",Services1106974798489949910410911411912613113614114615115616154992429[[#This Row],[Cost]]*30,Services1106974798489949910410911411912613113614114615115616154992429[[#This Row],[Frequency]]="One-time",Services1106974798489949910410911411912613113614114615115616154992429[[#This Row],[Cost]]/SUM($C$18,$C$19))))</f>
        <v>#N/A</v>
      </c>
      <c r="H95" s="46" t="e">
        <f>Services1106974798489949910410911411912613113614114615115616154992429[[#This Row],[Monthly Cost Per Unit]]*12</f>
        <v>#N/A</v>
      </c>
    </row>
    <row r="96" spans="1:8" x14ac:dyDescent="0.25">
      <c r="A96" s="75"/>
      <c r="B96" s="75"/>
      <c r="C96" s="77"/>
      <c r="D96" s="78"/>
      <c r="E96" s="79"/>
      <c r="F96" s="76"/>
      <c r="G96" s="53" t="e" cm="1">
        <f t="array" ref="G96">_xlfn.IFS(Services1106974798489949910410911411912613113614114615115616154992429[[#This Row],[Unit]]="Program-wide",((_xlfn.IFS(Services1106974798489949910410911411912613113614114615115616154992429[[#This Row],[Frequency]]="Per Year",Services1106974798489949910410911411912613113614114615115616154992429[[#This Row],[Cost]]/12,Services1106974798489949910410911411912613113614114615115616154992429[[#This Row],[Frequency]]="Per month",Services1106974798489949910410911411912613113614114615115616154992429[[#This Row],[Cost]],Services1106974798489949910410911411912613113614114615115616154992429[[#This Row],[Frequency]]="Per day",Services1106974798489949910410911411912613113614114615115616154992429[[#This Row],[Cost]]*30,Services1106974798489949910410911411912613113614114615115616154992429[[#This Row],[Frequency]]="One-time",Services1106974798489949910410911411912613113614114615115616154992429[[#This Row],[Cost]]/SUM($C$18,$C$19)))/$C$17),Services1106974798489949910410911411912613113614114615115616154992429[[#This Row],[Unit]]="Per unit/space/household",(_xlfn.IFS(Services1106974798489949910410911411912613113614114615115616154992429[[#This Row],[Frequency]]="Per Year",Services1106974798489949910410911411912613113614114615115616154992429[[#This Row],[Cost]]/12,Services1106974798489949910410911411912613113614114615115616154992429[[#This Row],[Frequency]]="Per month",Services1106974798489949910410911411912613113614114615115616154992429[[#This Row],[Cost]],Services1106974798489949910410911411912613113614114615115616154992429[[#This Row],[Frequency]]="Per day",Services1106974798489949910410911411912613113614114615115616154992429[[#This Row],[Cost]]*30,Services1106974798489949910410911411912613113614114615115616154992429[[#This Row],[Frequency]]="One-time",Services1106974798489949910410911411912613113614114615115616154992429[[#This Row],[Cost]]/SUM($C$18,$C$19))))</f>
        <v>#N/A</v>
      </c>
      <c r="H96" s="46" t="e">
        <f>Services1106974798489949910410911411912613113614114615115616154992429[[#This Row],[Monthly Cost Per Unit]]*12</f>
        <v>#N/A</v>
      </c>
    </row>
    <row r="97" spans="1:8" x14ac:dyDescent="0.25">
      <c r="A97" s="75"/>
      <c r="B97" s="75"/>
      <c r="C97" s="77"/>
      <c r="D97" s="78"/>
      <c r="E97" s="79"/>
      <c r="F97" s="76"/>
      <c r="G97" s="53" t="e" cm="1">
        <f t="array" ref="G97">_xlfn.IFS(Services1106974798489949910410911411912613113614114615115616154992429[[#This Row],[Unit]]="Program-wide",((_xlfn.IFS(Services1106974798489949910410911411912613113614114615115616154992429[[#This Row],[Frequency]]="Per Year",Services1106974798489949910410911411912613113614114615115616154992429[[#This Row],[Cost]]/12,Services1106974798489949910410911411912613113614114615115616154992429[[#This Row],[Frequency]]="Per month",Services1106974798489949910410911411912613113614114615115616154992429[[#This Row],[Cost]],Services1106974798489949910410911411912613113614114615115616154992429[[#This Row],[Frequency]]="Per day",Services1106974798489949910410911411912613113614114615115616154992429[[#This Row],[Cost]]*30,Services1106974798489949910410911411912613113614114615115616154992429[[#This Row],[Frequency]]="One-time",Services1106974798489949910410911411912613113614114615115616154992429[[#This Row],[Cost]]/SUM($C$18,$C$19)))/$C$17),Services1106974798489949910410911411912613113614114615115616154992429[[#This Row],[Unit]]="Per unit/space/household",(_xlfn.IFS(Services1106974798489949910410911411912613113614114615115616154992429[[#This Row],[Frequency]]="Per Year",Services1106974798489949910410911411912613113614114615115616154992429[[#This Row],[Cost]]/12,Services1106974798489949910410911411912613113614114615115616154992429[[#This Row],[Frequency]]="Per month",Services1106974798489949910410911411912613113614114615115616154992429[[#This Row],[Cost]],Services1106974798489949910410911411912613113614114615115616154992429[[#This Row],[Frequency]]="Per day",Services1106974798489949910410911411912613113614114615115616154992429[[#This Row],[Cost]]*30,Services1106974798489949910410911411912613113614114615115616154992429[[#This Row],[Frequency]]="One-time",Services1106974798489949910410911411912613113614114615115616154992429[[#This Row],[Cost]]/SUM($C$18,$C$19))))</f>
        <v>#N/A</v>
      </c>
      <c r="H97" s="46" t="e">
        <f>Services1106974798489949910410911411912613113614114615115616154992429[[#This Row],[Monthly Cost Per Unit]]*12</f>
        <v>#N/A</v>
      </c>
    </row>
    <row r="98" spans="1:8" x14ac:dyDescent="0.25">
      <c r="A98" s="75"/>
      <c r="B98" s="75"/>
      <c r="C98" s="77"/>
      <c r="D98" s="78"/>
      <c r="E98" s="79"/>
      <c r="F98" s="76"/>
      <c r="G98" s="53" t="e" cm="1">
        <f t="array" ref="G98">_xlfn.IFS(Services1106974798489949910410911411912613113614114615115616154992429[[#This Row],[Unit]]="Program-wide",((_xlfn.IFS(Services1106974798489949910410911411912613113614114615115616154992429[[#This Row],[Frequency]]="Per Year",Services1106974798489949910410911411912613113614114615115616154992429[[#This Row],[Cost]]/12,Services1106974798489949910410911411912613113614114615115616154992429[[#This Row],[Frequency]]="Per month",Services1106974798489949910410911411912613113614114615115616154992429[[#This Row],[Cost]],Services1106974798489949910410911411912613113614114615115616154992429[[#This Row],[Frequency]]="Per day",Services1106974798489949910410911411912613113614114615115616154992429[[#This Row],[Cost]]*30,Services1106974798489949910410911411912613113614114615115616154992429[[#This Row],[Frequency]]="One-time",Services1106974798489949910410911411912613113614114615115616154992429[[#This Row],[Cost]]/SUM($C$18,$C$19)))/$C$17),Services1106974798489949910410911411912613113614114615115616154992429[[#This Row],[Unit]]="Per unit/space/household",(_xlfn.IFS(Services1106974798489949910410911411912613113614114615115616154992429[[#This Row],[Frequency]]="Per Year",Services1106974798489949910410911411912613113614114615115616154992429[[#This Row],[Cost]]/12,Services1106974798489949910410911411912613113614114615115616154992429[[#This Row],[Frequency]]="Per month",Services1106974798489949910410911411912613113614114615115616154992429[[#This Row],[Cost]],Services1106974798489949910410911411912613113614114615115616154992429[[#This Row],[Frequency]]="Per day",Services1106974798489949910410911411912613113614114615115616154992429[[#This Row],[Cost]]*30,Services1106974798489949910410911411912613113614114615115616154992429[[#This Row],[Frequency]]="One-time",Services1106974798489949910410911411912613113614114615115616154992429[[#This Row],[Cost]]/SUM($C$18,$C$19))))</f>
        <v>#N/A</v>
      </c>
      <c r="H98" s="46" t="e">
        <f>Services1106974798489949910410911411912613113614114615115616154992429[[#This Row],[Monthly Cost Per Unit]]*12</f>
        <v>#N/A</v>
      </c>
    </row>
    <row r="99" spans="1:8" x14ac:dyDescent="0.25">
      <c r="A99" s="75"/>
      <c r="B99" s="75"/>
      <c r="C99" s="77"/>
      <c r="D99" s="78"/>
      <c r="E99" s="79"/>
      <c r="F99" s="76"/>
      <c r="G99" s="53" t="e" cm="1">
        <f t="array" ref="G99">_xlfn.IFS(Services1106974798489949910410911411912613113614114615115616154992429[[#This Row],[Unit]]="Program-wide",((_xlfn.IFS(Services1106974798489949910410911411912613113614114615115616154992429[[#This Row],[Frequency]]="Per Year",Services1106974798489949910410911411912613113614114615115616154992429[[#This Row],[Cost]]/12,Services1106974798489949910410911411912613113614114615115616154992429[[#This Row],[Frequency]]="Per month",Services1106974798489949910410911411912613113614114615115616154992429[[#This Row],[Cost]],Services1106974798489949910410911411912613113614114615115616154992429[[#This Row],[Frequency]]="Per day",Services1106974798489949910410911411912613113614114615115616154992429[[#This Row],[Cost]]*30,Services1106974798489949910410911411912613113614114615115616154992429[[#This Row],[Frequency]]="One-time",Services1106974798489949910410911411912613113614114615115616154992429[[#This Row],[Cost]]/SUM($C$18,$C$19)))/$C$17),Services1106974798489949910410911411912613113614114615115616154992429[[#This Row],[Unit]]="Per unit/space/household",(_xlfn.IFS(Services1106974798489949910410911411912613113614114615115616154992429[[#This Row],[Frequency]]="Per Year",Services1106974798489949910410911411912613113614114615115616154992429[[#This Row],[Cost]]/12,Services1106974798489949910410911411912613113614114615115616154992429[[#This Row],[Frequency]]="Per month",Services1106974798489949910410911411912613113614114615115616154992429[[#This Row],[Cost]],Services1106974798489949910410911411912613113614114615115616154992429[[#This Row],[Frequency]]="Per day",Services1106974798489949910410911411912613113614114615115616154992429[[#This Row],[Cost]]*30,Services1106974798489949910410911411912613113614114615115616154992429[[#This Row],[Frequency]]="One-time",Services1106974798489949910410911411912613113614114615115616154992429[[#This Row],[Cost]]/SUM($C$18,$C$19))))</f>
        <v>#N/A</v>
      </c>
      <c r="H99" s="46" t="e">
        <f>Services1106974798489949910410911411912613113614114615115616154992429[[#This Row],[Monthly Cost Per Unit]]*12</f>
        <v>#N/A</v>
      </c>
    </row>
    <row r="100" spans="1:8" x14ac:dyDescent="0.25">
      <c r="A100" s="75"/>
      <c r="B100" s="75"/>
      <c r="C100" s="77"/>
      <c r="D100" s="78"/>
      <c r="E100" s="79"/>
      <c r="F100" s="76"/>
      <c r="G100" s="53" t="e" cm="1">
        <f t="array" ref="G100">_xlfn.IFS(Services1106974798489949910410911411912613113614114615115616154992429[[#This Row],[Unit]]="Program-wide",((_xlfn.IFS(Services1106974798489949910410911411912613113614114615115616154992429[[#This Row],[Frequency]]="Per Year",Services1106974798489949910410911411912613113614114615115616154992429[[#This Row],[Cost]]/12,Services1106974798489949910410911411912613113614114615115616154992429[[#This Row],[Frequency]]="Per month",Services1106974798489949910410911411912613113614114615115616154992429[[#This Row],[Cost]],Services1106974798489949910410911411912613113614114615115616154992429[[#This Row],[Frequency]]="Per day",Services1106974798489949910410911411912613113614114615115616154992429[[#This Row],[Cost]]*30,Services1106974798489949910410911411912613113614114615115616154992429[[#This Row],[Frequency]]="One-time",Services1106974798489949910410911411912613113614114615115616154992429[[#This Row],[Cost]]/SUM($C$18,$C$19)))/$C$17),Services1106974798489949910410911411912613113614114615115616154992429[[#This Row],[Unit]]="Per unit/space/household",(_xlfn.IFS(Services1106974798489949910410911411912613113614114615115616154992429[[#This Row],[Frequency]]="Per Year",Services1106974798489949910410911411912613113614114615115616154992429[[#This Row],[Cost]]/12,Services1106974798489949910410911411912613113614114615115616154992429[[#This Row],[Frequency]]="Per month",Services1106974798489949910410911411912613113614114615115616154992429[[#This Row],[Cost]],Services1106974798489949910410911411912613113614114615115616154992429[[#This Row],[Frequency]]="Per day",Services1106974798489949910410911411912613113614114615115616154992429[[#This Row],[Cost]]*30,Services1106974798489949910410911411912613113614114615115616154992429[[#This Row],[Frequency]]="One-time",Services1106974798489949910410911411912613113614114615115616154992429[[#This Row],[Cost]]/SUM($C$18,$C$19))))</f>
        <v>#N/A</v>
      </c>
      <c r="H100" s="46" t="e">
        <f>Services1106974798489949910410911411912613113614114615115616154992429[[#This Row],[Monthly Cost Per Unit]]*12</f>
        <v>#N/A</v>
      </c>
    </row>
    <row r="101" spans="1:8" x14ac:dyDescent="0.25">
      <c r="A101" s="75"/>
      <c r="B101" s="75"/>
      <c r="C101" s="77"/>
      <c r="D101" s="78"/>
      <c r="E101" s="79"/>
      <c r="F101" s="76"/>
      <c r="G101" s="53" t="e" cm="1">
        <f t="array" ref="G101">_xlfn.IFS(Services1106974798489949910410911411912613113614114615115616154992429[[#This Row],[Unit]]="Program-wide",((_xlfn.IFS(Services1106974798489949910410911411912613113614114615115616154992429[[#This Row],[Frequency]]="Per Year",Services1106974798489949910410911411912613113614114615115616154992429[[#This Row],[Cost]]/12,Services1106974798489949910410911411912613113614114615115616154992429[[#This Row],[Frequency]]="Per month",Services1106974798489949910410911411912613113614114615115616154992429[[#This Row],[Cost]],Services1106974798489949910410911411912613113614114615115616154992429[[#This Row],[Frequency]]="Per day",Services1106974798489949910410911411912613113614114615115616154992429[[#This Row],[Cost]]*30,Services1106974798489949910410911411912613113614114615115616154992429[[#This Row],[Frequency]]="One-time",Services1106974798489949910410911411912613113614114615115616154992429[[#This Row],[Cost]]/SUM($C$18,$C$19)))/$C$17),Services1106974798489949910410911411912613113614114615115616154992429[[#This Row],[Unit]]="Per unit/space/household",(_xlfn.IFS(Services1106974798489949910410911411912613113614114615115616154992429[[#This Row],[Frequency]]="Per Year",Services1106974798489949910410911411912613113614114615115616154992429[[#This Row],[Cost]]/12,Services1106974798489949910410911411912613113614114615115616154992429[[#This Row],[Frequency]]="Per month",Services1106974798489949910410911411912613113614114615115616154992429[[#This Row],[Cost]],Services1106974798489949910410911411912613113614114615115616154992429[[#This Row],[Frequency]]="Per day",Services1106974798489949910410911411912613113614114615115616154992429[[#This Row],[Cost]]*30,Services1106974798489949910410911411912613113614114615115616154992429[[#This Row],[Frequency]]="One-time",Services1106974798489949910410911411912613113614114615115616154992429[[#This Row],[Cost]]/SUM($C$18,$C$19))))</f>
        <v>#N/A</v>
      </c>
      <c r="H101" s="46" t="e">
        <f>Services1106974798489949910410911411912613113614114615115616154992429[[#This Row],[Monthly Cost Per Unit]]*12</f>
        <v>#N/A</v>
      </c>
    </row>
    <row r="102" spans="1:8" x14ac:dyDescent="0.25">
      <c r="A102" s="75"/>
      <c r="B102" s="75"/>
      <c r="C102" s="77"/>
      <c r="D102" s="78"/>
      <c r="E102" s="79"/>
      <c r="F102" s="76"/>
      <c r="G102" s="53" t="e" cm="1">
        <f t="array" ref="G102">_xlfn.IFS(Services1106974798489949910410911411912613113614114615115616154992429[[#This Row],[Unit]]="Program-wide",((_xlfn.IFS(Services1106974798489949910410911411912613113614114615115616154992429[[#This Row],[Frequency]]="Per Year",Services1106974798489949910410911411912613113614114615115616154992429[[#This Row],[Cost]]/12,Services1106974798489949910410911411912613113614114615115616154992429[[#This Row],[Frequency]]="Per month",Services1106974798489949910410911411912613113614114615115616154992429[[#This Row],[Cost]],Services1106974798489949910410911411912613113614114615115616154992429[[#This Row],[Frequency]]="Per day",Services1106974798489949910410911411912613113614114615115616154992429[[#This Row],[Cost]]*30,Services1106974798489949910410911411912613113614114615115616154992429[[#This Row],[Frequency]]="One-time",Services1106974798489949910410911411912613113614114615115616154992429[[#This Row],[Cost]]/SUM($C$18,$C$19)))/$C$17),Services1106974798489949910410911411912613113614114615115616154992429[[#This Row],[Unit]]="Per unit/space/household",(_xlfn.IFS(Services1106974798489949910410911411912613113614114615115616154992429[[#This Row],[Frequency]]="Per Year",Services1106974798489949910410911411912613113614114615115616154992429[[#This Row],[Cost]]/12,Services1106974798489949910410911411912613113614114615115616154992429[[#This Row],[Frequency]]="Per month",Services1106974798489949910410911411912613113614114615115616154992429[[#This Row],[Cost]],Services1106974798489949910410911411912613113614114615115616154992429[[#This Row],[Frequency]]="Per day",Services1106974798489949910410911411912613113614114615115616154992429[[#This Row],[Cost]]*30,Services1106974798489949910410911411912613113614114615115616154992429[[#This Row],[Frequency]]="One-time",Services1106974798489949910410911411912613113614114615115616154992429[[#This Row],[Cost]]/SUM($C$18,$C$19))))</f>
        <v>#N/A</v>
      </c>
      <c r="H102" s="46" t="e">
        <f>Services1106974798489949910410911411912613113614114615115616154992429[[#This Row],[Monthly Cost Per Unit]]*12</f>
        <v>#N/A</v>
      </c>
    </row>
    <row r="103" spans="1:8" x14ac:dyDescent="0.25">
      <c r="A103" s="75"/>
      <c r="B103" s="75"/>
      <c r="C103" s="77"/>
      <c r="D103" s="78"/>
      <c r="E103" s="79"/>
      <c r="F103" s="76"/>
      <c r="G103" s="53" t="e" cm="1">
        <f t="array" ref="G103">_xlfn.IFS(Services1106974798489949910410911411912613113614114615115616154992429[[#This Row],[Unit]]="Program-wide",((_xlfn.IFS(Services1106974798489949910410911411912613113614114615115616154992429[[#This Row],[Frequency]]="Per Year",Services1106974798489949910410911411912613113614114615115616154992429[[#This Row],[Cost]]/12,Services1106974798489949910410911411912613113614114615115616154992429[[#This Row],[Frequency]]="Per month",Services1106974798489949910410911411912613113614114615115616154992429[[#This Row],[Cost]],Services1106974798489949910410911411912613113614114615115616154992429[[#This Row],[Frequency]]="Per day",Services1106974798489949910410911411912613113614114615115616154992429[[#This Row],[Cost]]*30,Services1106974798489949910410911411912613113614114615115616154992429[[#This Row],[Frequency]]="One-time",Services1106974798489949910410911411912613113614114615115616154992429[[#This Row],[Cost]]/SUM($C$18,$C$19)))/$C$17),Services1106974798489949910410911411912613113614114615115616154992429[[#This Row],[Unit]]="Per unit/space/household",(_xlfn.IFS(Services1106974798489949910410911411912613113614114615115616154992429[[#This Row],[Frequency]]="Per Year",Services1106974798489949910410911411912613113614114615115616154992429[[#This Row],[Cost]]/12,Services1106974798489949910410911411912613113614114615115616154992429[[#This Row],[Frequency]]="Per month",Services1106974798489949910410911411912613113614114615115616154992429[[#This Row],[Cost]],Services1106974798489949910410911411912613113614114615115616154992429[[#This Row],[Frequency]]="Per day",Services1106974798489949910410911411912613113614114615115616154992429[[#This Row],[Cost]]*30,Services1106974798489949910410911411912613113614114615115616154992429[[#This Row],[Frequency]]="One-time",Services1106974798489949910410911411912613113614114615115616154992429[[#This Row],[Cost]]/SUM($C$18,$C$19))))</f>
        <v>#N/A</v>
      </c>
      <c r="H103" s="46" t="e">
        <f>Services1106974798489949910410911411912613113614114615115616154992429[[#This Row],[Monthly Cost Per Unit]]*12</f>
        <v>#N/A</v>
      </c>
    </row>
    <row r="104" spans="1:8" x14ac:dyDescent="0.25">
      <c r="A104" s="75"/>
      <c r="B104" s="75"/>
      <c r="C104" s="77"/>
      <c r="D104" s="78"/>
      <c r="E104" s="79"/>
      <c r="F104" s="76"/>
      <c r="G104" s="53" t="e" cm="1">
        <f t="array" ref="G104">_xlfn.IFS(Services1106974798489949910410911411912613113614114615115616154992429[[#This Row],[Unit]]="Program-wide",((_xlfn.IFS(Services1106974798489949910410911411912613113614114615115616154992429[[#This Row],[Frequency]]="Per Year",Services1106974798489949910410911411912613113614114615115616154992429[[#This Row],[Cost]]/12,Services1106974798489949910410911411912613113614114615115616154992429[[#This Row],[Frequency]]="Per month",Services1106974798489949910410911411912613113614114615115616154992429[[#This Row],[Cost]],Services1106974798489949910410911411912613113614114615115616154992429[[#This Row],[Frequency]]="Per day",Services1106974798489949910410911411912613113614114615115616154992429[[#This Row],[Cost]]*30,Services1106974798489949910410911411912613113614114615115616154992429[[#This Row],[Frequency]]="One-time",Services1106974798489949910410911411912613113614114615115616154992429[[#This Row],[Cost]]/SUM($C$18,$C$19)))/$C$17),Services1106974798489949910410911411912613113614114615115616154992429[[#This Row],[Unit]]="Per unit/space/household",(_xlfn.IFS(Services1106974798489949910410911411912613113614114615115616154992429[[#This Row],[Frequency]]="Per Year",Services1106974798489949910410911411912613113614114615115616154992429[[#This Row],[Cost]]/12,Services1106974798489949910410911411912613113614114615115616154992429[[#This Row],[Frequency]]="Per month",Services1106974798489949910410911411912613113614114615115616154992429[[#This Row],[Cost]],Services1106974798489949910410911411912613113614114615115616154992429[[#This Row],[Frequency]]="Per day",Services1106974798489949910410911411912613113614114615115616154992429[[#This Row],[Cost]]*30,Services1106974798489949910410911411912613113614114615115616154992429[[#This Row],[Frequency]]="One-time",Services1106974798489949910410911411912613113614114615115616154992429[[#This Row],[Cost]]/SUM($C$18,$C$19))))</f>
        <v>#N/A</v>
      </c>
      <c r="H104" s="46" t="e">
        <f>Services1106974798489949910410911411912613113614114615115616154992429[[#This Row],[Monthly Cost Per Unit]]*12</f>
        <v>#N/A</v>
      </c>
    </row>
    <row r="105" spans="1:8" x14ac:dyDescent="0.25">
      <c r="A105" s="75"/>
      <c r="B105" s="75"/>
      <c r="C105" s="77"/>
      <c r="D105" s="78"/>
      <c r="E105" s="79"/>
      <c r="F105" s="76"/>
      <c r="G105" s="53" t="e" cm="1">
        <f t="array" ref="G105">_xlfn.IFS(Services1106974798489949910410911411912613113614114615115616154992429[[#This Row],[Unit]]="Program-wide",((_xlfn.IFS(Services1106974798489949910410911411912613113614114615115616154992429[[#This Row],[Frequency]]="Per Year",Services1106974798489949910410911411912613113614114615115616154992429[[#This Row],[Cost]]/12,Services1106974798489949910410911411912613113614114615115616154992429[[#This Row],[Frequency]]="Per month",Services1106974798489949910410911411912613113614114615115616154992429[[#This Row],[Cost]],Services1106974798489949910410911411912613113614114615115616154992429[[#This Row],[Frequency]]="Per day",Services1106974798489949910410911411912613113614114615115616154992429[[#This Row],[Cost]]*30,Services1106974798489949910410911411912613113614114615115616154992429[[#This Row],[Frequency]]="One-time",Services1106974798489949910410911411912613113614114615115616154992429[[#This Row],[Cost]]/SUM($C$18,$C$19)))/$C$17),Services1106974798489949910410911411912613113614114615115616154992429[[#This Row],[Unit]]="Per unit/space/household",(_xlfn.IFS(Services1106974798489949910410911411912613113614114615115616154992429[[#This Row],[Frequency]]="Per Year",Services1106974798489949910410911411912613113614114615115616154992429[[#This Row],[Cost]]/12,Services1106974798489949910410911411912613113614114615115616154992429[[#This Row],[Frequency]]="Per month",Services1106974798489949910410911411912613113614114615115616154992429[[#This Row],[Cost]],Services1106974798489949910410911411912613113614114615115616154992429[[#This Row],[Frequency]]="Per day",Services1106974798489949910410911411912613113614114615115616154992429[[#This Row],[Cost]]*30,Services1106974798489949910410911411912613113614114615115616154992429[[#This Row],[Frequency]]="One-time",Services1106974798489949910410911411912613113614114615115616154992429[[#This Row],[Cost]]/SUM($C$18,$C$19))))</f>
        <v>#N/A</v>
      </c>
      <c r="H105" s="46" t="e">
        <f>Services1106974798489949910410911411912613113614114615115616154992429[[#This Row],[Monthly Cost Per Unit]]*12</f>
        <v>#N/A</v>
      </c>
    </row>
    <row r="106" spans="1:8" x14ac:dyDescent="0.25">
      <c r="A106" s="75"/>
      <c r="B106" s="75"/>
      <c r="C106" s="77"/>
      <c r="D106" s="78"/>
      <c r="E106" s="79"/>
      <c r="F106" s="76"/>
      <c r="G106" s="53" t="e" cm="1">
        <f t="array" ref="G106">_xlfn.IFS(Services1106974798489949910410911411912613113614114615115616154992429[[#This Row],[Unit]]="Program-wide",((_xlfn.IFS(Services1106974798489949910410911411912613113614114615115616154992429[[#This Row],[Frequency]]="Per Year",Services1106974798489949910410911411912613113614114615115616154992429[[#This Row],[Cost]]/12,Services1106974798489949910410911411912613113614114615115616154992429[[#This Row],[Frequency]]="Per month",Services1106974798489949910410911411912613113614114615115616154992429[[#This Row],[Cost]],Services1106974798489949910410911411912613113614114615115616154992429[[#This Row],[Frequency]]="Per day",Services1106974798489949910410911411912613113614114615115616154992429[[#This Row],[Cost]]*30,Services1106974798489949910410911411912613113614114615115616154992429[[#This Row],[Frequency]]="One-time",Services1106974798489949910410911411912613113614114615115616154992429[[#This Row],[Cost]]/SUM($C$18,$C$19)))/$C$17),Services1106974798489949910410911411912613113614114615115616154992429[[#This Row],[Unit]]="Per unit/space/household",(_xlfn.IFS(Services1106974798489949910410911411912613113614114615115616154992429[[#This Row],[Frequency]]="Per Year",Services1106974798489949910410911411912613113614114615115616154992429[[#This Row],[Cost]]/12,Services1106974798489949910410911411912613113614114615115616154992429[[#This Row],[Frequency]]="Per month",Services1106974798489949910410911411912613113614114615115616154992429[[#This Row],[Cost]],Services1106974798489949910410911411912613113614114615115616154992429[[#This Row],[Frequency]]="Per day",Services1106974798489949910410911411912613113614114615115616154992429[[#This Row],[Cost]]*30,Services1106974798489949910410911411912613113614114615115616154992429[[#This Row],[Frequency]]="One-time",Services1106974798489949910410911411912613113614114615115616154992429[[#This Row],[Cost]]/SUM($C$18,$C$19))))</f>
        <v>#N/A</v>
      </c>
      <c r="H106" s="46" t="e">
        <f>Services1106974798489949910410911411912613113614114615115616154992429[[#This Row],[Monthly Cost Per Unit]]*12</f>
        <v>#N/A</v>
      </c>
    </row>
    <row r="107" spans="1:8" x14ac:dyDescent="0.25">
      <c r="A107" s="80"/>
      <c r="B107" s="80"/>
      <c r="C107" s="82"/>
      <c r="D107" s="83"/>
      <c r="E107" s="84"/>
      <c r="F107" s="81"/>
      <c r="G107" s="55" t="e" cm="1">
        <f t="array" ref="G107">_xlfn.IFS(Services1106974798489949910410911411912613113614114615115616154992429[[#This Row],[Unit]]="Program-wide",((_xlfn.IFS(Services1106974798489949910410911411912613113614114615115616154992429[[#This Row],[Frequency]]="Per Year",Services1106974798489949910410911411912613113614114615115616154992429[[#This Row],[Cost]]/12,Services1106974798489949910410911411912613113614114615115616154992429[[#This Row],[Frequency]]="Per month",Services1106974798489949910410911411912613113614114615115616154992429[[#This Row],[Cost]],Services1106974798489949910410911411912613113614114615115616154992429[[#This Row],[Frequency]]="Per day",Services1106974798489949910410911411912613113614114615115616154992429[[#This Row],[Cost]]*30,Services1106974798489949910410911411912613113614114615115616154992429[[#This Row],[Frequency]]="One-time",Services1106974798489949910410911411912613113614114615115616154992429[[#This Row],[Cost]]/SUM($C$18,$C$19)))/$C$17),Services1106974798489949910410911411912613113614114615115616154992429[[#This Row],[Unit]]="Per unit/space/household",(_xlfn.IFS(Services1106974798489949910410911411912613113614114615115616154992429[[#This Row],[Frequency]]="Per Year",Services1106974798489949910410911411912613113614114615115616154992429[[#This Row],[Cost]]/12,Services1106974798489949910410911411912613113614114615115616154992429[[#This Row],[Frequency]]="Per month",Services1106974798489949910410911411912613113614114615115616154992429[[#This Row],[Cost]],Services1106974798489949910410911411912613113614114615115616154992429[[#This Row],[Frequency]]="Per day",Services1106974798489949910410911411912613113614114615115616154992429[[#This Row],[Cost]]*30,Services1106974798489949910410911411912613113614114615115616154992429[[#This Row],[Frequency]]="One-time",Services1106974798489949910410911411912613113614114615115616154992429[[#This Row],[Cost]]/SUM($C$18,$C$19))))</f>
        <v>#N/A</v>
      </c>
      <c r="H107" s="46" t="e">
        <f>Services1106974798489949910410911411912613113614114615115616154992429[[#This Row],[Monthly Cost Per Unit]]*12</f>
        <v>#N/A</v>
      </c>
    </row>
    <row r="108" spans="1:8" x14ac:dyDescent="0.25">
      <c r="A108" s="107" t="s">
        <v>20</v>
      </c>
      <c r="B108" s="107"/>
      <c r="C108" s="108" t="s">
        <v>68</v>
      </c>
      <c r="D108" s="109"/>
      <c r="E108" s="108"/>
      <c r="F108" s="108"/>
      <c r="G108" s="118"/>
      <c r="H108" s="111">
        <f>(SUMIF(Services1106974798489949910410911411912613113614114615115616154992429[Duration],"While homeless only",Services1106974798489949910410911411912613113614114615115616154992429[Monthly Cost Per Unit]))*12</f>
        <v>0</v>
      </c>
    </row>
    <row r="109" spans="1:8" x14ac:dyDescent="0.25">
      <c r="A109" s="112"/>
      <c r="B109" s="112"/>
      <c r="C109" s="108" t="s">
        <v>63</v>
      </c>
      <c r="D109" s="109"/>
      <c r="E109" s="108"/>
      <c r="F109" s="108"/>
      <c r="G109" s="111"/>
      <c r="H109" s="111">
        <f>(SUMIF(Services1106974798489949910410911411912613113614114615115616154992429[Duration],"While housed only",Services1106974798489949910410911411912613113614114615115616154992429[Monthly Cost Per Unit]))*12</f>
        <v>0</v>
      </c>
    </row>
    <row r="110" spans="1:8" x14ac:dyDescent="0.25">
      <c r="A110" s="112"/>
      <c r="B110" s="112"/>
      <c r="C110" s="108" t="s">
        <v>58</v>
      </c>
      <c r="D110" s="109"/>
      <c r="E110" s="108"/>
      <c r="F110" s="108"/>
      <c r="G110" s="111"/>
      <c r="H110" s="111">
        <f>(SUMIF(Services1106974798489949910410911411912613113614114615115616154992429[Duration],"Homeless &amp; housed",Services1106974798489949910410911411912613113614114615115616154992429[Monthly Cost Per Unit]))*12</f>
        <v>0</v>
      </c>
    </row>
    <row r="111" spans="1:8" ht="15.75" thickBot="1" x14ac:dyDescent="0.3">
      <c r="A111" s="113"/>
      <c r="B111" s="113"/>
      <c r="C111" s="114" t="s">
        <v>207</v>
      </c>
      <c r="D111" s="115"/>
      <c r="E111" s="114"/>
      <c r="F111" s="114"/>
      <c r="G111" s="117"/>
      <c r="H111" s="117">
        <f>(SUMIF(Services1106974798489949910410911411912613113614114615115616154992429[Duration],"N/A",Services1106974798489949910410911411912613113614114615115616154992429[Monthly Cost Per Unit]))*12</f>
        <v>0</v>
      </c>
    </row>
    <row r="112" spans="1:8" ht="16.5" thickTop="1" thickBot="1" x14ac:dyDescent="0.3">
      <c r="A112" s="113"/>
      <c r="B112" s="113"/>
      <c r="C112" s="114" t="s">
        <v>42</v>
      </c>
      <c r="D112" s="115"/>
      <c r="E112" s="114"/>
      <c r="F112" s="114"/>
      <c r="G112" s="117"/>
      <c r="H112" s="117">
        <f>SUM(H108:H111)</f>
        <v>0</v>
      </c>
    </row>
    <row r="113" spans="1:9" ht="15.75" thickTop="1" x14ac:dyDescent="0.25">
      <c r="A113"/>
      <c r="F113"/>
      <c r="G113"/>
      <c r="H113" s="128"/>
    </row>
    <row r="114" spans="1:9" x14ac:dyDescent="0.25">
      <c r="A114" s="274" t="s">
        <v>90</v>
      </c>
      <c r="B114" s="274"/>
      <c r="C114" s="274"/>
      <c r="D114" s="274"/>
      <c r="E114" s="274"/>
      <c r="F114" s="274"/>
      <c r="G114" s="274"/>
      <c r="H114" s="274"/>
    </row>
    <row r="115" spans="1:9" ht="33" customHeight="1" outlineLevel="1" x14ac:dyDescent="0.25">
      <c r="A115" s="294" t="s">
        <v>91</v>
      </c>
      <c r="B115" s="294"/>
      <c r="C115" s="294"/>
      <c r="D115" s="294"/>
      <c r="E115" s="294"/>
      <c r="F115" s="294"/>
      <c r="G115" s="294"/>
      <c r="H115" s="294"/>
    </row>
    <row r="116" spans="1:9" s="3" customFormat="1" ht="28.35" customHeight="1" x14ac:dyDescent="0.25">
      <c r="A116" s="131" t="s">
        <v>51</v>
      </c>
      <c r="B116" s="131" t="s">
        <v>52</v>
      </c>
      <c r="C116" s="131" t="s">
        <v>53</v>
      </c>
      <c r="D116" s="131" t="s">
        <v>54</v>
      </c>
      <c r="E116" s="131" t="s">
        <v>55</v>
      </c>
      <c r="F116" s="131" t="s">
        <v>56</v>
      </c>
      <c r="G116" s="131" t="s">
        <v>57</v>
      </c>
      <c r="H116" s="132" t="s">
        <v>20</v>
      </c>
    </row>
    <row r="117" spans="1:9" x14ac:dyDescent="0.25">
      <c r="A117" s="75"/>
      <c r="B117" s="75"/>
      <c r="C117" s="77"/>
      <c r="D117" s="78"/>
      <c r="E117" s="79"/>
      <c r="F117" s="79"/>
      <c r="G117" s="53" t="e" cm="1">
        <f t="array" ref="G117">_xlfn.IFS(Other111707580859095100105110115120127132137142147152157162551002530[[#This Row],[Unit]]="Program-wide",((_xlfn.IFS(Other111707580859095100105110115120127132137142147152157162551002530[[#This Row],[Frequency]]="Per Year",Other111707580859095100105110115120127132137142147152157162551002530[[#This Row],[Cost]]/12,Other111707580859095100105110115120127132137142147152157162551002530[[#This Row],[Frequency]]="Per month",Other111707580859095100105110115120127132137142147152157162551002530[[#This Row],[Cost]],Other111707580859095100105110115120127132137142147152157162551002530[[#This Row],[Frequency]]="Per day",Other111707580859095100105110115120127132137142147152157162551002530[[#This Row],[Cost]]*30,Other111707580859095100105110115120127132137142147152157162551002530[[#This Row],[Frequency]]="One-time",Other111707580859095100105110115120127132137142147152157162551002530[[#This Row],[Cost]]/SUM($C$18,$C$19)))/$C$17),Other111707580859095100105110115120127132137142147152157162551002530[[#This Row],[Unit]]="Per unit/space/household",(_xlfn.IFS(Other111707580859095100105110115120127132137142147152157162551002530[[#This Row],[Frequency]]="Per Year",Other111707580859095100105110115120127132137142147152157162551002530[[#This Row],[Cost]]/12,Other111707580859095100105110115120127132137142147152157162551002530[[#This Row],[Frequency]]="Per month",Other111707580859095100105110115120127132137142147152157162551002530[[#This Row],[Cost]],Other111707580859095100105110115120127132137142147152157162551002530[[#This Row],[Frequency]]="Per day",Other111707580859095100105110115120127132137142147152157162551002530[[#This Row],[Cost]]*30,Other111707580859095100105110115120127132137142147152157162551002530[[#This Row],[Frequency]]="One-time",Other111707580859095100105110115120127132137142147152157162551002530[[#This Row],[Cost]]/SUM($C$18,$C$19))))</f>
        <v>#N/A</v>
      </c>
      <c r="H117" s="46" t="e">
        <f>Other111707580859095100105110115120127132137142147152157162551002530[[#This Row],[Monthly Cost Per Unit]]*12</f>
        <v>#N/A</v>
      </c>
    </row>
    <row r="118" spans="1:9" x14ac:dyDescent="0.25">
      <c r="A118" s="75"/>
      <c r="B118" s="75"/>
      <c r="C118" s="77"/>
      <c r="D118" s="78"/>
      <c r="E118" s="79"/>
      <c r="F118" s="79"/>
      <c r="G118" s="53" t="e" cm="1">
        <f t="array" ref="G118">_xlfn.IFS(Other111707580859095100105110115120127132137142147152157162551002530[[#This Row],[Unit]]="Program-wide",((_xlfn.IFS(Other111707580859095100105110115120127132137142147152157162551002530[[#This Row],[Frequency]]="Per Year",Other111707580859095100105110115120127132137142147152157162551002530[[#This Row],[Cost]]/12,Other111707580859095100105110115120127132137142147152157162551002530[[#This Row],[Frequency]]="Per month",Other111707580859095100105110115120127132137142147152157162551002530[[#This Row],[Cost]],Other111707580859095100105110115120127132137142147152157162551002530[[#This Row],[Frequency]]="Per day",Other111707580859095100105110115120127132137142147152157162551002530[[#This Row],[Cost]]*30,Other111707580859095100105110115120127132137142147152157162551002530[[#This Row],[Frequency]]="One-time",Other111707580859095100105110115120127132137142147152157162551002530[[#This Row],[Cost]]/SUM($C$18,$C$19)))/$C$17),Other111707580859095100105110115120127132137142147152157162551002530[[#This Row],[Unit]]="Per unit/space/household",(_xlfn.IFS(Other111707580859095100105110115120127132137142147152157162551002530[[#This Row],[Frequency]]="Per Year",Other111707580859095100105110115120127132137142147152157162551002530[[#This Row],[Cost]]/12,Other111707580859095100105110115120127132137142147152157162551002530[[#This Row],[Frequency]]="Per month",Other111707580859095100105110115120127132137142147152157162551002530[[#This Row],[Cost]],Other111707580859095100105110115120127132137142147152157162551002530[[#This Row],[Frequency]]="Per day",Other111707580859095100105110115120127132137142147152157162551002530[[#This Row],[Cost]]*30,Other111707580859095100105110115120127132137142147152157162551002530[[#This Row],[Frequency]]="One-time",Other111707580859095100105110115120127132137142147152157162551002530[[#This Row],[Cost]]/SUM($C$18,$C$19))))</f>
        <v>#N/A</v>
      </c>
      <c r="H118" s="46" t="e">
        <f>Other111707580859095100105110115120127132137142147152157162551002530[[#This Row],[Monthly Cost Per Unit]]*12</f>
        <v>#N/A</v>
      </c>
    </row>
    <row r="119" spans="1:9" x14ac:dyDescent="0.25">
      <c r="A119" s="75"/>
      <c r="B119" s="75"/>
      <c r="C119" s="77"/>
      <c r="D119" s="78"/>
      <c r="E119" s="79"/>
      <c r="F119" s="79"/>
      <c r="G119" s="53" t="e" cm="1">
        <f t="array" ref="G119">_xlfn.IFS(Other111707580859095100105110115120127132137142147152157162551002530[[#This Row],[Unit]]="Program-wide",((_xlfn.IFS(Other111707580859095100105110115120127132137142147152157162551002530[[#This Row],[Frequency]]="Per Year",Other111707580859095100105110115120127132137142147152157162551002530[[#This Row],[Cost]]/12,Other111707580859095100105110115120127132137142147152157162551002530[[#This Row],[Frequency]]="Per month",Other111707580859095100105110115120127132137142147152157162551002530[[#This Row],[Cost]],Other111707580859095100105110115120127132137142147152157162551002530[[#This Row],[Frequency]]="Per day",Other111707580859095100105110115120127132137142147152157162551002530[[#This Row],[Cost]]*30,Other111707580859095100105110115120127132137142147152157162551002530[[#This Row],[Frequency]]="One-time",Other111707580859095100105110115120127132137142147152157162551002530[[#This Row],[Cost]]/SUM($C$18,$C$19)))/$C$17),Other111707580859095100105110115120127132137142147152157162551002530[[#This Row],[Unit]]="Per unit/space/household",(_xlfn.IFS(Other111707580859095100105110115120127132137142147152157162551002530[[#This Row],[Frequency]]="Per Year",Other111707580859095100105110115120127132137142147152157162551002530[[#This Row],[Cost]]/12,Other111707580859095100105110115120127132137142147152157162551002530[[#This Row],[Frequency]]="Per month",Other111707580859095100105110115120127132137142147152157162551002530[[#This Row],[Cost]],Other111707580859095100105110115120127132137142147152157162551002530[[#This Row],[Frequency]]="Per day",Other111707580859095100105110115120127132137142147152157162551002530[[#This Row],[Cost]]*30,Other111707580859095100105110115120127132137142147152157162551002530[[#This Row],[Frequency]]="One-time",Other111707580859095100105110115120127132137142147152157162551002530[[#This Row],[Cost]]/SUM($C$18,$C$19))))</f>
        <v>#N/A</v>
      </c>
      <c r="H119" s="46" t="e">
        <f>Other111707580859095100105110115120127132137142147152157162551002530[[#This Row],[Monthly Cost Per Unit]]*12</f>
        <v>#N/A</v>
      </c>
    </row>
    <row r="120" spans="1:9" x14ac:dyDescent="0.25">
      <c r="A120" s="75"/>
      <c r="B120" s="75"/>
      <c r="C120" s="77"/>
      <c r="D120" s="78"/>
      <c r="E120" s="79"/>
      <c r="F120" s="79"/>
      <c r="G120" s="53" t="e" cm="1">
        <f t="array" ref="G120">_xlfn.IFS(Other111707580859095100105110115120127132137142147152157162551002530[[#This Row],[Unit]]="Program-wide",((_xlfn.IFS(Other111707580859095100105110115120127132137142147152157162551002530[[#This Row],[Frequency]]="Per Year",Other111707580859095100105110115120127132137142147152157162551002530[[#This Row],[Cost]]/12,Other111707580859095100105110115120127132137142147152157162551002530[[#This Row],[Frequency]]="Per month",Other111707580859095100105110115120127132137142147152157162551002530[[#This Row],[Cost]],Other111707580859095100105110115120127132137142147152157162551002530[[#This Row],[Frequency]]="Per day",Other111707580859095100105110115120127132137142147152157162551002530[[#This Row],[Cost]]*30,Other111707580859095100105110115120127132137142147152157162551002530[[#This Row],[Frequency]]="One-time",Other111707580859095100105110115120127132137142147152157162551002530[[#This Row],[Cost]]/SUM($C$18,$C$19)))/$C$17),Other111707580859095100105110115120127132137142147152157162551002530[[#This Row],[Unit]]="Per unit/space/household",(_xlfn.IFS(Other111707580859095100105110115120127132137142147152157162551002530[[#This Row],[Frequency]]="Per Year",Other111707580859095100105110115120127132137142147152157162551002530[[#This Row],[Cost]]/12,Other111707580859095100105110115120127132137142147152157162551002530[[#This Row],[Frequency]]="Per month",Other111707580859095100105110115120127132137142147152157162551002530[[#This Row],[Cost]],Other111707580859095100105110115120127132137142147152157162551002530[[#This Row],[Frequency]]="Per day",Other111707580859095100105110115120127132137142147152157162551002530[[#This Row],[Cost]]*30,Other111707580859095100105110115120127132137142147152157162551002530[[#This Row],[Frequency]]="One-time",Other111707580859095100105110115120127132137142147152157162551002530[[#This Row],[Cost]]/SUM($C$18,$C$19))))</f>
        <v>#N/A</v>
      </c>
      <c r="H120" s="46" t="e">
        <f>Other111707580859095100105110115120127132137142147152157162551002530[[#This Row],[Monthly Cost Per Unit]]*12</f>
        <v>#N/A</v>
      </c>
    </row>
    <row r="121" spans="1:9" s="1" customFormat="1" x14ac:dyDescent="0.25">
      <c r="A121" s="80"/>
      <c r="B121" s="80"/>
      <c r="C121" s="82"/>
      <c r="D121" s="83"/>
      <c r="E121" s="84"/>
      <c r="F121" s="84"/>
      <c r="G121" s="55" t="e" cm="1">
        <f t="array" ref="G121">_xlfn.IFS(Other111707580859095100105110115120127132137142147152157162551002530[[#This Row],[Unit]]="Program-wide",((_xlfn.IFS(Other111707580859095100105110115120127132137142147152157162551002530[[#This Row],[Frequency]]="Per Year",Other111707580859095100105110115120127132137142147152157162551002530[[#This Row],[Cost]]/12,Other111707580859095100105110115120127132137142147152157162551002530[[#This Row],[Frequency]]="Per month",Other111707580859095100105110115120127132137142147152157162551002530[[#This Row],[Cost]],Other111707580859095100105110115120127132137142147152157162551002530[[#This Row],[Frequency]]="Per day",Other111707580859095100105110115120127132137142147152157162551002530[[#This Row],[Cost]]*30,Other111707580859095100105110115120127132137142147152157162551002530[[#This Row],[Frequency]]="One-time",Other111707580859095100105110115120127132137142147152157162551002530[[#This Row],[Cost]]/SUM($C$18,$C$19)))/$C$17),Other111707580859095100105110115120127132137142147152157162551002530[[#This Row],[Unit]]="Per unit/space/household",(_xlfn.IFS(Other111707580859095100105110115120127132137142147152157162551002530[[#This Row],[Frequency]]="Per Year",Other111707580859095100105110115120127132137142147152157162551002530[[#This Row],[Cost]]/12,Other111707580859095100105110115120127132137142147152157162551002530[[#This Row],[Frequency]]="Per month",Other111707580859095100105110115120127132137142147152157162551002530[[#This Row],[Cost]],Other111707580859095100105110115120127132137142147152157162551002530[[#This Row],[Frequency]]="Per day",Other111707580859095100105110115120127132137142147152157162551002530[[#This Row],[Cost]]*30,Other111707580859095100105110115120127132137142147152157162551002530[[#This Row],[Frequency]]="One-time",Other111707580859095100105110115120127132137142147152157162551002530[[#This Row],[Cost]]/SUM($C$18,$C$19))))</f>
        <v>#N/A</v>
      </c>
      <c r="H121" s="46" t="e">
        <f>Other111707580859095100105110115120127132137142147152157162551002530[[#This Row],[Monthly Cost Per Unit]]*12</f>
        <v>#N/A</v>
      </c>
      <c r="I121"/>
    </row>
    <row r="122" spans="1:9" x14ac:dyDescent="0.25">
      <c r="A122" s="107" t="s">
        <v>20</v>
      </c>
      <c r="B122" s="107"/>
      <c r="C122" s="108" t="s">
        <v>68</v>
      </c>
      <c r="D122" s="109"/>
      <c r="E122" s="108"/>
      <c r="F122" s="108"/>
      <c r="G122" s="118"/>
      <c r="H122" s="111">
        <f>(SUMIF(Other111707580859095100105110115120127132137142147152157162551002530[Duration],"While homeless only",Other111707580859095100105110115120127132137142147152157162551002530[Monthly Cost Per Unit]))*12</f>
        <v>0</v>
      </c>
    </row>
    <row r="123" spans="1:9" x14ac:dyDescent="0.25">
      <c r="A123" s="112"/>
      <c r="B123" s="112"/>
      <c r="C123" s="108" t="s">
        <v>63</v>
      </c>
      <c r="D123" s="109"/>
      <c r="E123" s="108"/>
      <c r="F123" s="108"/>
      <c r="G123" s="111"/>
      <c r="H123" s="111">
        <f>(SUMIF(Other111707580859095100105110115120127132137142147152157162551002530[Duration],"While housed only",Other111707580859095100105110115120127132137142147152157162551002530[Monthly Cost Per Unit]))*12</f>
        <v>0</v>
      </c>
    </row>
    <row r="124" spans="1:9" x14ac:dyDescent="0.25">
      <c r="A124" s="112"/>
      <c r="B124" s="112"/>
      <c r="C124" s="108" t="s">
        <v>58</v>
      </c>
      <c r="D124" s="109"/>
      <c r="E124" s="108"/>
      <c r="F124" s="108"/>
      <c r="G124" s="111"/>
      <c r="H124" s="111">
        <f>(SUMIF(Other111707580859095100105110115120127132137142147152157162551002530[Duration],"Homeless &amp; housed",Other111707580859095100105110115120127132137142147152157162551002530[Monthly Cost Per Unit]))*12</f>
        <v>0</v>
      </c>
    </row>
    <row r="125" spans="1:9" ht="15.75" thickBot="1" x14ac:dyDescent="0.3">
      <c r="A125" s="113"/>
      <c r="B125" s="113"/>
      <c r="C125" s="114" t="s">
        <v>207</v>
      </c>
      <c r="D125" s="115"/>
      <c r="E125" s="114"/>
      <c r="F125" s="114"/>
      <c r="G125" s="117"/>
      <c r="H125" s="117">
        <f>(SUMIF(Other111707580859095100105110115120127132137142147152157162551002530[Duration],"N/A",Other111707580859095100105110115120127132137142147152157162551002530[Monthly Cost Per Unit]))*12</f>
        <v>0</v>
      </c>
    </row>
    <row r="126" spans="1:9" ht="16.5" thickTop="1" thickBot="1" x14ac:dyDescent="0.3">
      <c r="A126" s="113"/>
      <c r="B126" s="113"/>
      <c r="C126" s="114" t="s">
        <v>42</v>
      </c>
      <c r="D126" s="115"/>
      <c r="E126" s="114"/>
      <c r="F126" s="114"/>
      <c r="G126" s="117"/>
      <c r="H126" s="117">
        <f>SUM(H122:H125)</f>
        <v>0</v>
      </c>
    </row>
    <row r="127" spans="1:9" ht="15.75" thickTop="1" x14ac:dyDescent="0.25"/>
    <row r="128" spans="1:9" x14ac:dyDescent="0.25">
      <c r="A128" s="269" t="s">
        <v>92</v>
      </c>
      <c r="B128" s="269"/>
      <c r="C128" s="269"/>
      <c r="D128" s="269"/>
      <c r="E128" s="269"/>
      <c r="F128" s="269"/>
      <c r="G128" s="269"/>
      <c r="H128" s="269"/>
    </row>
    <row r="129" spans="1:8" x14ac:dyDescent="0.25">
      <c r="A129" s="304" t="s">
        <v>20</v>
      </c>
      <c r="B129" s="147"/>
      <c r="C129" s="108" t="s">
        <v>68</v>
      </c>
      <c r="D129" s="109"/>
      <c r="E129" s="108"/>
      <c r="F129" s="108"/>
      <c r="G129" s="118"/>
      <c r="H129" s="111">
        <f>SUM(H32,H53,H86, H108,H122)</f>
        <v>0</v>
      </c>
    </row>
    <row r="130" spans="1:8" x14ac:dyDescent="0.25">
      <c r="A130" s="305"/>
      <c r="B130" s="148"/>
      <c r="C130" s="108" t="s">
        <v>63</v>
      </c>
      <c r="D130" s="109"/>
      <c r="E130" s="108"/>
      <c r="F130" s="108"/>
      <c r="G130" s="111"/>
      <c r="H130" s="111">
        <f>SUM(H33,H54,H87, H109,H123)</f>
        <v>0</v>
      </c>
    </row>
    <row r="131" spans="1:8" x14ac:dyDescent="0.25">
      <c r="A131" s="305"/>
      <c r="B131" s="148"/>
      <c r="C131" s="108" t="s">
        <v>58</v>
      </c>
      <c r="D131" s="109"/>
      <c r="E131" s="108"/>
      <c r="F131" s="108"/>
      <c r="G131" s="111"/>
      <c r="H131" s="111">
        <f>SUM(H34,H55,H88, H110,H124)</f>
        <v>0</v>
      </c>
    </row>
    <row r="132" spans="1:8" ht="15.75" thickBot="1" x14ac:dyDescent="0.3">
      <c r="A132" s="305"/>
      <c r="B132" s="148"/>
      <c r="C132" s="114" t="s">
        <v>207</v>
      </c>
      <c r="D132" s="115"/>
      <c r="E132" s="114"/>
      <c r="F132" s="114"/>
      <c r="G132" s="117"/>
      <c r="H132" s="149">
        <f>SUM(H35,H56,H89, H111,H125)</f>
        <v>0</v>
      </c>
    </row>
    <row r="133" spans="1:8" ht="16.5" thickTop="1" thickBot="1" x14ac:dyDescent="0.3">
      <c r="A133" s="306"/>
      <c r="B133" s="150"/>
      <c r="C133" s="130" t="s">
        <v>42</v>
      </c>
      <c r="D133" s="130"/>
      <c r="E133" s="130"/>
      <c r="F133" s="130"/>
      <c r="G133" s="151"/>
      <c r="H133" s="117">
        <f>SUM(H36,H57,H90, H112,H126)</f>
        <v>0</v>
      </c>
    </row>
    <row r="134" spans="1:8" ht="15.75" thickTop="1" x14ac:dyDescent="0.25"/>
  </sheetData>
  <sheetProtection sheet="1" formatCells="0" formatColumns="0" formatRows="0" insertRows="0"/>
  <mergeCells count="41">
    <mergeCell ref="A128:H128"/>
    <mergeCell ref="A129:A133"/>
    <mergeCell ref="A25:H25"/>
    <mergeCell ref="A38:H38"/>
    <mergeCell ref="A39:H39"/>
    <mergeCell ref="A59:H59"/>
    <mergeCell ref="A60:H60"/>
    <mergeCell ref="A61:F61"/>
    <mergeCell ref="A62:F62"/>
    <mergeCell ref="A74:F74"/>
    <mergeCell ref="G74:H74"/>
    <mergeCell ref="A75:H75"/>
    <mergeCell ref="A92:H92"/>
    <mergeCell ref="A93:H93"/>
    <mergeCell ref="A114:H114"/>
    <mergeCell ref="A115:H115"/>
    <mergeCell ref="C19:D19"/>
    <mergeCell ref="A16:D16"/>
    <mergeCell ref="A15:D15"/>
    <mergeCell ref="A10:B10"/>
    <mergeCell ref="C10:D10"/>
    <mergeCell ref="A11:B11"/>
    <mergeCell ref="C11:D11"/>
    <mergeCell ref="A12:B12"/>
    <mergeCell ref="C12:D12"/>
    <mergeCell ref="A22:H22"/>
    <mergeCell ref="A24:H24"/>
    <mergeCell ref="A2:H2"/>
    <mergeCell ref="A7:D7"/>
    <mergeCell ref="A9:D9"/>
    <mergeCell ref="F9:G9"/>
    <mergeCell ref="A13:B13"/>
    <mergeCell ref="C13:D13"/>
    <mergeCell ref="A4:D4"/>
    <mergeCell ref="A5:B5"/>
    <mergeCell ref="C5:D5"/>
    <mergeCell ref="A17:B17"/>
    <mergeCell ref="C17:D17"/>
    <mergeCell ref="A18:B18"/>
    <mergeCell ref="C18:D18"/>
    <mergeCell ref="A19:B19"/>
  </mergeCells>
  <dataValidations count="12">
    <dataValidation type="custom" allowBlank="1" showInputMessage="1" showErrorMessage="1" prompt="This would be the amount of time a client is enrolled in the program before they have a housing move-in date in HMIS." sqref="C18:D18" xr:uid="{57AE5EF4-178F-41AB-843D-C7CB7F82C15C}">
      <formula1>ISNUMBER(VALUE(C18))</formula1>
    </dataValidation>
    <dataValidation type="custom" allowBlank="1" showInputMessage="1" showErrorMessage="1" prompt="This would be the amount of time a client is enrolled in the program after they have a housing move-in date in HMIS." sqref="C19:D19" xr:uid="{E4F7EB1C-F5A7-4599-8275-BC3DC43B22E4}">
      <formula1>ISNUMBER(VALUE(C19))</formula1>
    </dataValidation>
    <dataValidation allowBlank="1" showInputMessage="1" showErrorMessage="1" prompt="This would be the amount of time a client is enrolled in the program before they have a housing move-in date in HMIS." sqref="A18:B18" xr:uid="{95D1FD40-4F27-4CC9-A879-16B697714302}"/>
    <dataValidation allowBlank="1" showInputMessage="1" showErrorMessage="1" prompt="This would be the amount of time a client is enrolled in the program after they have a housing move-in date in HMIS." sqref="A19:B20 D20" xr:uid="{232A490B-55E3-4B5C-ACC1-F25AAA50D1D9}"/>
    <dataValidation allowBlank="1" showInputMessage="1" showErrorMessage="1" prompt="This column is auto-calculated based on the average rental cost and average utility cost per unit information." sqref="F63:F72" xr:uid="{01D184F7-C420-4D5A-87CC-3512D9BF25F4}"/>
    <dataValidation allowBlank="1" showInputMessage="1" showErrorMessage="1" prompt="This field required a selection from a drop-down menu. To find this menu, click on the cell and click the down arrow on the right-hand of the cell. " sqref="C26 C40 C76 C94 C116" xr:uid="{1CF59CB3-B9C7-45C9-9810-21F0F59AF68C}"/>
    <dataValidation allowBlank="1" showInputMessage="1" showErrorMessage="1" prompt="This field required a selection from a drop-down menu. To find this menu, click on the cell and click the down arrow on the right-hand of the cell." sqref="E26:F26 E40:F40 E76:F76 E94:F94 E116:F116" xr:uid="{35BAA30F-64EA-4CF4-91E8-27916F83A6FE}"/>
    <dataValidation allowBlank="1" showInputMessage="1" showErrorMessage="1" prompt="_x000a_" sqref="G13" xr:uid="{2BF50B0A-695D-4759-9E70-C3018E5015CF}"/>
    <dataValidation type="custom" allowBlank="1" showInputMessage="1" showErrorMessage="1" sqref="D27:D31 D41:D52 D77:D85 D95:D107 D117:D121 B64:E71" xr:uid="{06D1A13E-5752-42EF-A8E6-028A23BB1C0B}">
      <formula1>ISNUMBER(VALUE(B27))</formula1>
    </dataValidation>
    <dataValidation allowBlank="1" showErrorMessage="1" sqref="C20 F14:G14" xr:uid="{D8B665D7-C46E-47DB-82D3-F8E638EA9BEE}"/>
    <dataValidation allowBlank="1" showInputMessage="1" showErrorMessage="1" prompt="Project capacity is the number of units available at a point in time. Depending on the project type, a unit may represent a rental subsidy, a room or bed in a congregate setting, a motel room, a supportive services slot, etc." sqref="A17:B17" xr:uid="{C5A22A9A-7B5B-433C-9866-5F3E503960CC}"/>
    <dataValidation type="custom" allowBlank="1" showInputMessage="1" showErrorMessage="1" prompt="Project capacity is the number of units available at a point in time. Depending on the project type, a unit may represent a rental subsidy, a room or bed in a congregate setting, a motel room, a supportive services slot, etc." sqref="C17:D17" xr:uid="{592835D4-C00E-4DE8-B832-9E5B539651DA}">
      <formula1>ISNUMBER(VALUE(C17))</formula1>
    </dataValidation>
  </dataValidations>
  <pageMargins left="0.7" right="0.7" top="0.75" bottom="0.75" header="0.3" footer="0.3"/>
  <pageSetup orientation="portrait" horizontalDpi="90" verticalDpi="90" r:id="rId1"/>
  <tableParts count="5">
    <tablePart r:id="rId2"/>
    <tablePart r:id="rId3"/>
    <tablePart r:id="rId4"/>
    <tablePart r:id="rId5"/>
    <tablePart r:id="rId6"/>
  </tableParts>
  <extLst>
    <ext xmlns:x14="http://schemas.microsoft.com/office/spreadsheetml/2009/9/main" uri="{CCE6A557-97BC-4b89-ADB6-D9C93CAAB3DF}">
      <x14:dataValidations xmlns:xm="http://schemas.microsoft.com/office/excel/2006/main" count="9">
        <x14:dataValidation type="list" allowBlank="1" showInputMessage="1" showErrorMessage="1" prompt="This field required a selection from a drop-down menu. To find this menu, click on the cell and click the down arrow on the right-hand of the cell. " xr:uid="{2B6F08EE-4EA6-4846-85BD-4F0C9E57C554}">
          <x14:formula1>
            <xm:f>Allowable!$E$2:$E$4</xm:f>
          </x14:formula1>
          <xm:sqref>C117:C121 C95:C107 C77:C85</xm:sqref>
        </x14:dataValidation>
        <x14:dataValidation type="list" allowBlank="1" showInputMessage="1" showErrorMessage="1" xr:uid="{1DAEECE4-B39C-4A86-939C-6AB5000D8B7E}">
          <x14:formula1>
            <xm:f>Allowable!$B$2:$B$3</xm:f>
          </x14:formula1>
          <xm:sqref>F58</xm:sqref>
        </x14:dataValidation>
        <x14:dataValidation type="list" allowBlank="1" showInputMessage="1" showErrorMessage="1" xr:uid="{12DF07DB-E31B-4388-AB07-FDFC912C751C}">
          <x14:formula1>
            <xm:f>Allowable!$A$2:$A$5</xm:f>
          </x14:formula1>
          <xm:sqref>E58</xm:sqref>
        </x14:dataValidation>
        <x14:dataValidation type="list" allowBlank="1" showInputMessage="1" showErrorMessage="1" prompt="This field required a selection from a drop-down menu. To find this menu, click on the cell and click the down arrow on the right-hand of the cell." xr:uid="{2AAA06DD-F001-43FF-BF20-28FD73CEEBDE}">
          <x14:formula1>
            <xm:f>Allowable!$A$2:$A$5</xm:f>
          </x14:formula1>
          <xm:sqref>E27:E31 E41:E52</xm:sqref>
        </x14:dataValidation>
        <x14:dataValidation type="list" allowBlank="1" showInputMessage="1" showErrorMessage="1" prompt="This field required a selection from a drop-down menu. To find this menu, click on the cell and click the down arrow on the right-hand of the cell. " xr:uid="{29D8A56B-E52D-4039-9EE8-FF4A1F66F9F6}">
          <x14:formula1>
            <xm:f>Allowable!$A$2:$A$5</xm:f>
          </x14:formula1>
          <xm:sqref>E41:E52 E77:E85 E95:E107 E117:E121</xm:sqref>
        </x14:dataValidation>
        <x14:dataValidation type="list" allowBlank="1" showInputMessage="1" showErrorMessage="1" prompt="This field required a selection from a drop-down menu. To find this menu, click on the cell and click the down arrow on the right-hand of the cell. " xr:uid="{7AB6FDB9-7C5F-4B43-92CC-1FE7756659C7}">
          <x14:formula1>
            <xm:f>Allowable!$B$2:$B$3</xm:f>
          </x14:formula1>
          <xm:sqref>F41:F52 F77:F85 F95:F107 F117:F121</xm:sqref>
        </x14:dataValidation>
        <x14:dataValidation type="list" allowBlank="1" showInputMessage="1" showErrorMessage="1" prompt="This field required a selection from a drop-down menu. To find this menu, click on the cell and click the down arrow on the right-hand of the cell." xr:uid="{48C06577-149A-4590-9DC8-B5B54F1A8181}">
          <x14:formula1>
            <xm:f>Allowable!$B$2:$B$3</xm:f>
          </x14:formula1>
          <xm:sqref>F27:F31</xm:sqref>
        </x14:dataValidation>
        <x14:dataValidation type="list" allowBlank="1" showInputMessage="1" showErrorMessage="1" xr:uid="{A58C3693-570C-4586-BFCD-7928E9D980A1}">
          <x14:formula1>
            <xm:f>Allowable!$D$2:$D$13</xm:f>
          </x14:formula1>
          <xm:sqref>C11:D11</xm:sqref>
        </x14:dataValidation>
        <x14:dataValidation type="list" allowBlank="1" showInputMessage="1" showErrorMessage="1" prompt="This field required a selection from a drop-down menu. To find this menu, click on the cell and click the down arrow on the right-hand of the cell. " xr:uid="{06B11C43-4AF7-498E-B546-96051765EA3A}">
          <x14:formula1>
            <xm:f>Allowable!$E$2:$E$5</xm:f>
          </x14:formula1>
          <xm:sqref>C27:C31 C41:C52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651AB-2740-4A40-B5D0-65D20673089D}">
  <sheetPr>
    <tabColor theme="8" tint="0.79998168889431442"/>
  </sheetPr>
  <dimension ref="A2:I134"/>
  <sheetViews>
    <sheetView showGridLines="0" zoomScaleNormal="100" workbookViewId="0">
      <selection activeCell="F6" sqref="F6"/>
    </sheetView>
  </sheetViews>
  <sheetFormatPr defaultColWidth="8.7109375" defaultRowHeight="15" outlineLevelRow="1" x14ac:dyDescent="0.25"/>
  <cols>
    <col min="1" max="1" width="27.140625" style="3" customWidth="1"/>
    <col min="2" max="2" width="21.140625" customWidth="1"/>
    <col min="3" max="3" width="18.5703125" customWidth="1"/>
    <col min="4" max="5" width="14.42578125" customWidth="1"/>
    <col min="6" max="6" width="22.85546875" style="128" customWidth="1"/>
    <col min="7" max="7" width="13.5703125" style="128" customWidth="1"/>
    <col min="8" max="8" width="13.140625" customWidth="1"/>
    <col min="9" max="9" width="10.5703125" customWidth="1"/>
    <col min="10" max="10" width="10.42578125" customWidth="1"/>
    <col min="11" max="11" width="22.5703125" customWidth="1"/>
    <col min="12" max="12" width="14.85546875" customWidth="1"/>
  </cols>
  <sheetData>
    <row r="2" spans="1:8" ht="26.25" x14ac:dyDescent="0.4">
      <c r="A2" s="288" t="str">
        <f>CONCATENATE("Comparable Projects for ", 'Model Project Type'!D10, " Cost Assumptions")</f>
        <v>Comparable Projects for  Cost Assumptions</v>
      </c>
      <c r="B2" s="288"/>
      <c r="C2" s="288"/>
      <c r="D2" s="288"/>
      <c r="E2" s="288"/>
      <c r="F2" s="288"/>
      <c r="G2" s="288"/>
      <c r="H2" s="288"/>
    </row>
    <row r="3" spans="1:8" ht="19.5" customHeight="1" x14ac:dyDescent="0.25"/>
    <row r="4" spans="1:8" ht="26.1" customHeight="1" x14ac:dyDescent="0.4">
      <c r="A4" s="273" t="s">
        <v>1</v>
      </c>
      <c r="B4" s="273"/>
      <c r="C4" s="273"/>
      <c r="D4" s="273"/>
    </row>
    <row r="5" spans="1:8" ht="30.6" customHeight="1" x14ac:dyDescent="0.25">
      <c r="A5" s="292" t="s">
        <v>109</v>
      </c>
      <c r="B5" s="292"/>
      <c r="C5" s="293" t="str">
        <f>IF('Model Project Type'!D10 = 0, " ", 'Model Project Type'!D10)</f>
        <v xml:space="preserve"> </v>
      </c>
      <c r="D5" s="293"/>
    </row>
    <row r="6" spans="1:8" ht="20.100000000000001" customHeight="1" x14ac:dyDescent="0.25">
      <c r="A6"/>
      <c r="F6"/>
      <c r="G6"/>
    </row>
    <row r="7" spans="1:8" ht="26.1" customHeight="1" x14ac:dyDescent="0.4">
      <c r="A7" s="273" t="s">
        <v>35</v>
      </c>
      <c r="B7" s="273"/>
      <c r="C7" s="273"/>
      <c r="D7" s="273"/>
    </row>
    <row r="8" spans="1:8" ht="5.45" customHeight="1" x14ac:dyDescent="0.4">
      <c r="A8" s="36"/>
      <c r="B8" s="36"/>
      <c r="C8" s="36"/>
      <c r="D8" s="36"/>
      <c r="F8" s="129"/>
      <c r="G8" s="129"/>
    </row>
    <row r="9" spans="1:8" ht="20.100000000000001" customHeight="1" x14ac:dyDescent="0.25">
      <c r="A9" s="289" t="s">
        <v>36</v>
      </c>
      <c r="B9" s="289"/>
      <c r="C9" s="289"/>
      <c r="D9" s="289"/>
      <c r="F9" s="308" t="s">
        <v>37</v>
      </c>
      <c r="G9" s="308"/>
    </row>
    <row r="10" spans="1:8" ht="19.7" customHeight="1" x14ac:dyDescent="0.25">
      <c r="A10" s="290" t="s">
        <v>38</v>
      </c>
      <c r="B10" s="290"/>
      <c r="C10" s="311"/>
      <c r="D10" s="311"/>
      <c r="F10" s="108" t="s">
        <v>68</v>
      </c>
      <c r="G10" s="111">
        <f>H129</f>
        <v>0</v>
      </c>
    </row>
    <row r="11" spans="1:8" ht="19.7" customHeight="1" x14ac:dyDescent="0.25">
      <c r="A11" s="286" t="s">
        <v>39</v>
      </c>
      <c r="B11" s="286"/>
      <c r="C11" s="310"/>
      <c r="D11" s="310"/>
      <c r="F11" s="108" t="s">
        <v>63</v>
      </c>
      <c r="G11" s="111">
        <f>H130</f>
        <v>0</v>
      </c>
    </row>
    <row r="12" spans="1:8" ht="19.7" customHeight="1" x14ac:dyDescent="0.25">
      <c r="A12" s="287" t="s">
        <v>40</v>
      </c>
      <c r="B12" s="287"/>
      <c r="C12" s="307"/>
      <c r="D12" s="307"/>
      <c r="F12" s="108" t="s">
        <v>58</v>
      </c>
      <c r="G12" s="111">
        <f>H131</f>
        <v>0</v>
      </c>
    </row>
    <row r="13" spans="1:8" ht="19.7" customHeight="1" thickBot="1" x14ac:dyDescent="0.3">
      <c r="A13" s="286" t="s">
        <v>41</v>
      </c>
      <c r="B13" s="286"/>
      <c r="C13" s="307"/>
      <c r="D13" s="307"/>
      <c r="F13" s="114" t="s">
        <v>207</v>
      </c>
      <c r="G13" s="117">
        <f>H132</f>
        <v>0</v>
      </c>
    </row>
    <row r="14" spans="1:8" ht="19.7" customHeight="1" thickTop="1" thickBot="1" x14ac:dyDescent="0.3">
      <c r="A14" s="7"/>
      <c r="B14" s="40"/>
      <c r="C14" s="35"/>
      <c r="D14" s="34"/>
      <c r="F14" s="130" t="s">
        <v>42</v>
      </c>
      <c r="G14" s="117">
        <f>H133</f>
        <v>0</v>
      </c>
    </row>
    <row r="15" spans="1:8" ht="19.7" customHeight="1" thickTop="1" x14ac:dyDescent="0.25">
      <c r="A15" s="280" t="s">
        <v>43</v>
      </c>
      <c r="B15" s="280"/>
      <c r="C15" s="280"/>
      <c r="D15" s="280"/>
    </row>
    <row r="16" spans="1:8" ht="44.45" customHeight="1" x14ac:dyDescent="0.25">
      <c r="A16" s="281" t="s">
        <v>44</v>
      </c>
      <c r="B16" s="282"/>
      <c r="C16" s="282"/>
      <c r="D16" s="282"/>
    </row>
    <row r="17" spans="1:9" ht="18.600000000000001" customHeight="1" x14ac:dyDescent="0.25">
      <c r="A17" s="283" t="s">
        <v>45</v>
      </c>
      <c r="B17" s="283"/>
      <c r="C17" s="309"/>
      <c r="D17" s="309"/>
    </row>
    <row r="18" spans="1:9" ht="44.45" customHeight="1" x14ac:dyDescent="0.25">
      <c r="A18" s="275" t="s">
        <v>46</v>
      </c>
      <c r="B18" s="275"/>
      <c r="C18" s="310"/>
      <c r="D18" s="310"/>
    </row>
    <row r="19" spans="1:9" ht="44.45" customHeight="1" x14ac:dyDescent="0.25">
      <c r="A19" s="275" t="s">
        <v>47</v>
      </c>
      <c r="B19" s="275"/>
      <c r="C19" s="307"/>
      <c r="D19" s="307"/>
    </row>
    <row r="20" spans="1:9" ht="14.1" customHeight="1" x14ac:dyDescent="0.25">
      <c r="A20" s="33"/>
      <c r="B20" s="33"/>
      <c r="C20" s="39"/>
      <c r="D20" s="35"/>
    </row>
    <row r="21" spans="1:9" ht="17.45" customHeight="1" x14ac:dyDescent="0.25">
      <c r="A21" s="4"/>
      <c r="B21" s="4"/>
      <c r="C21" s="35"/>
      <c r="D21" s="35"/>
    </row>
    <row r="22" spans="1:9" ht="21" customHeight="1" x14ac:dyDescent="0.4">
      <c r="A22" s="277" t="s">
        <v>48</v>
      </c>
      <c r="B22" s="277"/>
      <c r="C22" s="277"/>
      <c r="D22" s="277"/>
      <c r="E22" s="277"/>
      <c r="F22" s="277"/>
      <c r="G22" s="277"/>
      <c r="H22" s="277"/>
    </row>
    <row r="23" spans="1:9" ht="6.6" customHeight="1" x14ac:dyDescent="0.25">
      <c r="A23" s="32"/>
      <c r="B23" s="30"/>
      <c r="C23" s="30"/>
      <c r="D23" s="30"/>
      <c r="F23" s="129"/>
      <c r="G23" s="129"/>
    </row>
    <row r="24" spans="1:9" x14ac:dyDescent="0.25">
      <c r="A24" s="274" t="s">
        <v>49</v>
      </c>
      <c r="B24" s="274"/>
      <c r="C24" s="274"/>
      <c r="D24" s="274"/>
      <c r="E24" s="274"/>
      <c r="F24" s="274"/>
      <c r="G24" s="274"/>
      <c r="H24" s="274"/>
    </row>
    <row r="25" spans="1:9" ht="30.75" customHeight="1" outlineLevel="1" x14ac:dyDescent="0.25">
      <c r="A25" s="294" t="s">
        <v>50</v>
      </c>
      <c r="B25" s="294"/>
      <c r="C25" s="294"/>
      <c r="D25" s="294"/>
      <c r="E25" s="294"/>
      <c r="F25" s="294"/>
      <c r="G25" s="294"/>
      <c r="H25" s="294"/>
    </row>
    <row r="26" spans="1:9" s="3" customFormat="1" ht="28.35" customHeight="1" x14ac:dyDescent="0.25">
      <c r="A26" s="131" t="s">
        <v>51</v>
      </c>
      <c r="B26" s="131" t="s">
        <v>52</v>
      </c>
      <c r="C26" s="131" t="s">
        <v>53</v>
      </c>
      <c r="D26" s="131" t="s">
        <v>54</v>
      </c>
      <c r="E26" s="131" t="s">
        <v>55</v>
      </c>
      <c r="F26" s="131" t="s">
        <v>56</v>
      </c>
      <c r="G26" s="131" t="s">
        <v>57</v>
      </c>
      <c r="H26" s="132" t="s">
        <v>20</v>
      </c>
    </row>
    <row r="27" spans="1:9" x14ac:dyDescent="0.25">
      <c r="A27" s="75"/>
      <c r="B27" s="76"/>
      <c r="C27" s="77"/>
      <c r="D27" s="78"/>
      <c r="E27" s="79"/>
      <c r="F27" s="79"/>
      <c r="G27" s="53" t="e" cm="1">
        <f t="array" ref="G27">_xlfn.IFS(Administrative17667176818691961011061111161231281331381431481531585196212631[[#This Row],[Unit]]="Program-wide",((_xlfn.IFS(Administrative17667176818691961011061111161231281331381431481531585196212631[[#This Row],[Frequency]]="Per Year",Administrative17667176818691961011061111161231281331381431481531585196212631[[#This Row],[Cost]]/12,Administrative17667176818691961011061111161231281331381431481531585196212631[[#This Row],[Frequency]]="Per month",Administrative17667176818691961011061111161231281331381431481531585196212631[[#This Row],[Cost]],Administrative17667176818691961011061111161231281331381431481531585196212631[[#This Row],[Frequency]]="Per day",Administrative17667176818691961011061111161231281331381431481531585196212631[[#This Row],[Cost]]*30,Administrative17667176818691961011061111161231281331381431481531585196212631[[#This Row],[Frequency]]="One-time",Administrative17667176818691961011061111161231281331381431481531585196212631[[#This Row],[Cost]]/SUM(C18,C19)))/$C$17),Administrative17667176818691961011061111161231281331381431481531585196212631[[#This Row],[Unit]]="Per unit/space/household",(_xlfn.IFS(Administrative17667176818691961011061111161231281331381431481531585196212631[[#This Row],[Frequency]]="Per Year",Administrative17667176818691961011061111161231281331381431481531585196212631[[#This Row],[Cost]]/12,Administrative17667176818691961011061111161231281331381431481531585196212631[[#This Row],[Frequency]]="Per month",Administrative17667176818691961011061111161231281331381431481531585196212631[[#This Row],[Cost]],Administrative17667176818691961011061111161231281331381431481531585196212631[[#This Row],[Frequency]]="Per day",Administrative17667176818691961011061111161231281331381431481531585196212631[[#This Row],[Cost]]*30,Administrative17667176818691961011061111161231281331381431481531585196212631[[#This Row],[Frequency]]="One-time",Administrative17667176818691961011061111161231281331381431481531585196212631[[#This Row],[Cost]]/SUM($C$18,$C$19))))</f>
        <v>#N/A</v>
      </c>
      <c r="H27" s="46" t="e">
        <f>Administrative17667176818691961011061111161231281331381431481531585196212631[[#This Row],[Monthly Cost Per Unit]]*12</f>
        <v>#N/A</v>
      </c>
    </row>
    <row r="28" spans="1:9" x14ac:dyDescent="0.25">
      <c r="A28" s="75"/>
      <c r="B28" s="76"/>
      <c r="C28" s="77"/>
      <c r="D28" s="78"/>
      <c r="E28" s="79"/>
      <c r="F28" s="79"/>
      <c r="G28" s="53" t="e" cm="1">
        <f t="array" ref="G28">_xlfn.IFS(Administrative17667176818691961011061111161231281331381431481531585196212631[[#This Row],[Unit]]="Program-wide",((_xlfn.IFS(Administrative17667176818691961011061111161231281331381431481531585196212631[[#This Row],[Frequency]]="Per Year",Administrative17667176818691961011061111161231281331381431481531585196212631[[#This Row],[Cost]]/12,Administrative17667176818691961011061111161231281331381431481531585196212631[[#This Row],[Frequency]]="Per month",Administrative17667176818691961011061111161231281331381431481531585196212631[[#This Row],[Cost]],Administrative17667176818691961011061111161231281331381431481531585196212631[[#This Row],[Frequency]]="Per day",Administrative17667176818691961011061111161231281331381431481531585196212631[[#This Row],[Cost]]*30,Administrative17667176818691961011061111161231281331381431481531585196212631[[#This Row],[Frequency]]="One-time",Administrative17667176818691961011061111161231281331381431481531585196212631[[#This Row],[Cost]]/SUM(C18,C19)))/$C$17),Administrative17667176818691961011061111161231281331381431481531585196212631[[#This Row],[Unit]]="Per unit/space/household",(_xlfn.IFS(Administrative17667176818691961011061111161231281331381431481531585196212631[[#This Row],[Frequency]]="Per Year",Administrative17667176818691961011061111161231281331381431481531585196212631[[#This Row],[Cost]]/12,Administrative17667176818691961011061111161231281331381431481531585196212631[[#This Row],[Frequency]]="Per month",Administrative17667176818691961011061111161231281331381431481531585196212631[[#This Row],[Cost]],Administrative17667176818691961011061111161231281331381431481531585196212631[[#This Row],[Frequency]]="Per day",Administrative17667176818691961011061111161231281331381431481531585196212631[[#This Row],[Cost]]*30,Administrative17667176818691961011061111161231281331381431481531585196212631[[#This Row],[Frequency]]="One-time",Administrative17667176818691961011061111161231281331381431481531585196212631[[#This Row],[Cost]]/SUM($C$18,$C$19))))</f>
        <v>#N/A</v>
      </c>
      <c r="H28" s="46" t="e">
        <f>Administrative17667176818691961011061111161231281331381431481531585196212631[[#This Row],[Monthly Cost Per Unit]]*12</f>
        <v>#N/A</v>
      </c>
    </row>
    <row r="29" spans="1:9" x14ac:dyDescent="0.25">
      <c r="A29" s="75"/>
      <c r="B29" s="76"/>
      <c r="C29" s="77"/>
      <c r="D29" s="78"/>
      <c r="E29" s="79"/>
      <c r="F29" s="79"/>
      <c r="G29" s="53" t="e" cm="1">
        <f t="array" ref="G29">_xlfn.IFS(Administrative17667176818691961011061111161231281331381431481531585196212631[[#This Row],[Unit]]="Program-wide",((_xlfn.IFS(Administrative17667176818691961011061111161231281331381431481531585196212631[[#This Row],[Frequency]]="Per Year",Administrative17667176818691961011061111161231281331381431481531585196212631[[#This Row],[Cost]]/12,Administrative17667176818691961011061111161231281331381431481531585196212631[[#This Row],[Frequency]]="Per month",Administrative17667176818691961011061111161231281331381431481531585196212631[[#This Row],[Cost]],Administrative17667176818691961011061111161231281331381431481531585196212631[[#This Row],[Frequency]]="Per day",Administrative17667176818691961011061111161231281331381431481531585196212631[[#This Row],[Cost]]*30,Administrative17667176818691961011061111161231281331381431481531585196212631[[#This Row],[Frequency]]="One-time",Administrative17667176818691961011061111161231281331381431481531585196212631[[#This Row],[Cost]]/SUM(C18,C19)))/$C$17),Administrative17667176818691961011061111161231281331381431481531585196212631[[#This Row],[Unit]]="Per unit/space/household",(_xlfn.IFS(Administrative17667176818691961011061111161231281331381431481531585196212631[[#This Row],[Frequency]]="Per Year",Administrative17667176818691961011061111161231281331381431481531585196212631[[#This Row],[Cost]]/12,Administrative17667176818691961011061111161231281331381431481531585196212631[[#This Row],[Frequency]]="Per month",Administrative17667176818691961011061111161231281331381431481531585196212631[[#This Row],[Cost]],Administrative17667176818691961011061111161231281331381431481531585196212631[[#This Row],[Frequency]]="Per day",Administrative17667176818691961011061111161231281331381431481531585196212631[[#This Row],[Cost]]*30,Administrative17667176818691961011061111161231281331381431481531585196212631[[#This Row],[Frequency]]="One-time",Administrative17667176818691961011061111161231281331381431481531585196212631[[#This Row],[Cost]]/SUM($C$18,$C$19))))</f>
        <v>#N/A</v>
      </c>
      <c r="H29" s="46" t="e">
        <f>Administrative17667176818691961011061111161231281331381431481531585196212631[[#This Row],[Monthly Cost Per Unit]]*12</f>
        <v>#N/A</v>
      </c>
    </row>
    <row r="30" spans="1:9" x14ac:dyDescent="0.25">
      <c r="A30" s="75"/>
      <c r="B30" s="76"/>
      <c r="C30" s="77"/>
      <c r="D30" s="78"/>
      <c r="E30" s="79"/>
      <c r="F30" s="79"/>
      <c r="G30" s="53" t="e" cm="1">
        <f t="array" ref="G30">_xlfn.IFS(Administrative17667176818691961011061111161231281331381431481531585196212631[[#This Row],[Unit]]="Program-wide",((_xlfn.IFS(Administrative17667176818691961011061111161231281331381431481531585196212631[[#This Row],[Frequency]]="Per Year",Administrative17667176818691961011061111161231281331381431481531585196212631[[#This Row],[Cost]]/12,Administrative17667176818691961011061111161231281331381431481531585196212631[[#This Row],[Frequency]]="Per month",Administrative17667176818691961011061111161231281331381431481531585196212631[[#This Row],[Cost]],Administrative17667176818691961011061111161231281331381431481531585196212631[[#This Row],[Frequency]]="Per day",Administrative17667176818691961011061111161231281331381431481531585196212631[[#This Row],[Cost]]*30,Administrative17667176818691961011061111161231281331381431481531585196212631[[#This Row],[Frequency]]="One-time",Administrative17667176818691961011061111161231281331381431481531585196212631[[#This Row],[Cost]]/SUM(C18,C19)))/$C$17),Administrative17667176818691961011061111161231281331381431481531585196212631[[#This Row],[Unit]]="Per unit/space/household",(_xlfn.IFS(Administrative17667176818691961011061111161231281331381431481531585196212631[[#This Row],[Frequency]]="Per Year",Administrative17667176818691961011061111161231281331381431481531585196212631[[#This Row],[Cost]]/12,Administrative17667176818691961011061111161231281331381431481531585196212631[[#This Row],[Frequency]]="Per month",Administrative17667176818691961011061111161231281331381431481531585196212631[[#This Row],[Cost]],Administrative17667176818691961011061111161231281331381431481531585196212631[[#This Row],[Frequency]]="Per day",Administrative17667176818691961011061111161231281331381431481531585196212631[[#This Row],[Cost]]*30,Administrative17667176818691961011061111161231281331381431481531585196212631[[#This Row],[Frequency]]="One-time",Administrative17667176818691961011061111161231281331381431481531585196212631[[#This Row],[Cost]]/SUM($C$18,$C$19))))</f>
        <v>#N/A</v>
      </c>
      <c r="H30" s="46" t="e">
        <f>Administrative17667176818691961011061111161231281331381431481531585196212631[[#This Row],[Monthly Cost Per Unit]]*12</f>
        <v>#N/A</v>
      </c>
    </row>
    <row r="31" spans="1:9" s="1" customFormat="1" x14ac:dyDescent="0.25">
      <c r="A31" s="80"/>
      <c r="B31" s="81"/>
      <c r="C31" s="82"/>
      <c r="D31" s="83"/>
      <c r="E31" s="84"/>
      <c r="F31" s="84"/>
      <c r="G31" s="54" t="e" cm="1">
        <f t="array" ref="G31">_xlfn.IFS(Administrative17667176818691961011061111161231281331381431481531585196212631[[#This Row],[Unit]]="Program-wide",((_xlfn.IFS(Administrative17667176818691961011061111161231281331381431481531585196212631[[#This Row],[Frequency]]="Per Year",Administrative17667176818691961011061111161231281331381431481531585196212631[[#This Row],[Cost]]/12,Administrative17667176818691961011061111161231281331381431481531585196212631[[#This Row],[Frequency]]="Per month",Administrative17667176818691961011061111161231281331381431481531585196212631[[#This Row],[Cost]],Administrative17667176818691961011061111161231281331381431481531585196212631[[#This Row],[Frequency]]="Per day",Administrative17667176818691961011061111161231281331381431481531585196212631[[#This Row],[Cost]]*30,Administrative17667176818691961011061111161231281331381431481531585196212631[[#This Row],[Frequency]]="One-time",Administrative17667176818691961011061111161231281331381431481531585196212631[[#This Row],[Cost]]/SUM(C18,C19)))/$C$17),Administrative17667176818691961011061111161231281331381431481531585196212631[[#This Row],[Unit]]="Per unit/space/household",(_xlfn.IFS(Administrative17667176818691961011061111161231281331381431481531585196212631[[#This Row],[Frequency]]="Per Year",Administrative17667176818691961011061111161231281331381431481531585196212631[[#This Row],[Cost]]/12,Administrative17667176818691961011061111161231281331381431481531585196212631[[#This Row],[Frequency]]="Per month",Administrative17667176818691961011061111161231281331381431481531585196212631[[#This Row],[Cost]],Administrative17667176818691961011061111161231281331381431481531585196212631[[#This Row],[Frequency]]="Per day",Administrative17667176818691961011061111161231281331381431481531585196212631[[#This Row],[Cost]]*30,Administrative17667176818691961011061111161231281331381431481531585196212631[[#This Row],[Frequency]]="One-time",Administrative17667176818691961011061111161231281331381431481531585196212631[[#This Row],[Cost]]/SUM($C$18,$C$19))))</f>
        <v>#N/A</v>
      </c>
      <c r="H31" s="46" t="e">
        <f>Administrative17667176818691961011061111161231281331381431481531585196212631[[#This Row],[Monthly Cost Per Unit]]*12</f>
        <v>#N/A</v>
      </c>
      <c r="I31"/>
    </row>
    <row r="32" spans="1:9" x14ac:dyDescent="0.25">
      <c r="A32" s="107" t="s">
        <v>20</v>
      </c>
      <c r="B32" s="107"/>
      <c r="C32" s="108" t="s">
        <v>68</v>
      </c>
      <c r="D32" s="109"/>
      <c r="E32" s="108"/>
      <c r="F32" s="108"/>
      <c r="G32" s="110"/>
      <c r="H32" s="111">
        <f>(SUMIF(Administrative17667176818691961011061111161231281331381431481531585196212631[Duration],"While homeless only",Administrative17667176818691961011061111161231281331381431481531585196212631[Monthly Cost Per Unit]))*12</f>
        <v>0</v>
      </c>
    </row>
    <row r="33" spans="1:8" x14ac:dyDescent="0.25">
      <c r="A33" s="112"/>
      <c r="B33" s="112"/>
      <c r="C33" s="108" t="s">
        <v>63</v>
      </c>
      <c r="D33" s="109"/>
      <c r="E33" s="108"/>
      <c r="F33" s="108"/>
      <c r="G33" s="110"/>
      <c r="H33" s="111">
        <f>(SUMIF(Administrative17667176818691961011061111161231281331381431481531585196212631[Duration],"While housed only",Administrative17667176818691961011061111161231281331381431481531585196212631[Monthly Cost Per Unit]))*12</f>
        <v>0</v>
      </c>
    </row>
    <row r="34" spans="1:8" x14ac:dyDescent="0.25">
      <c r="A34" s="112"/>
      <c r="B34" s="112"/>
      <c r="C34" s="108" t="s">
        <v>58</v>
      </c>
      <c r="D34" s="109"/>
      <c r="E34" s="108"/>
      <c r="F34" s="108"/>
      <c r="G34" s="110"/>
      <c r="H34" s="111">
        <f>(SUMIF(Administrative17667176818691961011061111161231281331381431481531585196212631[Duration],"Homeless &amp; housed",Administrative17667176818691961011061111161231281331381431481531585196212631[Monthly Cost Per Unit]))*12</f>
        <v>0</v>
      </c>
    </row>
    <row r="35" spans="1:8" ht="15.75" thickBot="1" x14ac:dyDescent="0.3">
      <c r="A35" s="113"/>
      <c r="B35" s="113"/>
      <c r="C35" s="114" t="s">
        <v>207</v>
      </c>
      <c r="D35" s="115"/>
      <c r="E35" s="114"/>
      <c r="F35" s="114"/>
      <c r="G35" s="116"/>
      <c r="H35" s="117">
        <f>(SUMIF(Administrative17667176818691961011061111161231281331381431481531585196212631[Duration],"N/A",Administrative17667176818691961011061111161231281331381431481531585196212631[Monthly Cost Per Unit]))*12</f>
        <v>0</v>
      </c>
    </row>
    <row r="36" spans="1:8" ht="16.5" thickTop="1" thickBot="1" x14ac:dyDescent="0.3">
      <c r="A36" s="113"/>
      <c r="B36" s="113"/>
      <c r="C36" s="114" t="s">
        <v>42</v>
      </c>
      <c r="D36" s="115"/>
      <c r="E36" s="114"/>
      <c r="F36" s="114"/>
      <c r="G36" s="133"/>
      <c r="H36" s="117">
        <f>SUM(H32:H35)</f>
        <v>0</v>
      </c>
    </row>
    <row r="37" spans="1:8" ht="15.75" thickTop="1" x14ac:dyDescent="0.25">
      <c r="A37" s="10"/>
      <c r="B37" s="10"/>
      <c r="C37" s="10"/>
      <c r="D37" s="10"/>
      <c r="F37" s="129"/>
      <c r="G37" s="129"/>
    </row>
    <row r="38" spans="1:8" x14ac:dyDescent="0.25">
      <c r="A38" s="274" t="s">
        <v>61</v>
      </c>
      <c r="B38" s="274"/>
      <c r="C38" s="274"/>
      <c r="D38" s="274"/>
      <c r="E38" s="274"/>
      <c r="F38" s="274"/>
      <c r="G38" s="274"/>
      <c r="H38" s="274"/>
    </row>
    <row r="39" spans="1:8" ht="30" customHeight="1" outlineLevel="1" x14ac:dyDescent="0.25">
      <c r="A39" s="294" t="s">
        <v>62</v>
      </c>
      <c r="B39" s="294"/>
      <c r="C39" s="294"/>
      <c r="D39" s="294"/>
      <c r="E39" s="294"/>
      <c r="F39" s="294"/>
      <c r="G39" s="294"/>
      <c r="H39" s="294"/>
    </row>
    <row r="40" spans="1:8" s="3" customFormat="1" ht="28.35" customHeight="1" x14ac:dyDescent="0.25">
      <c r="A40" s="131" t="s">
        <v>51</v>
      </c>
      <c r="B40" s="131" t="s">
        <v>52</v>
      </c>
      <c r="C40" s="131" t="s">
        <v>53</v>
      </c>
      <c r="D40" s="131" t="s">
        <v>54</v>
      </c>
      <c r="E40" s="131" t="s">
        <v>55</v>
      </c>
      <c r="F40" s="131" t="s">
        <v>56</v>
      </c>
      <c r="G40" s="131" t="s">
        <v>57</v>
      </c>
      <c r="H40" s="132" t="s">
        <v>20</v>
      </c>
    </row>
    <row r="41" spans="1:8" x14ac:dyDescent="0.25">
      <c r="A41" s="75"/>
      <c r="B41" s="76"/>
      <c r="C41" s="88"/>
      <c r="D41" s="89"/>
      <c r="E41" s="79"/>
      <c r="F41" s="79"/>
      <c r="G41" s="53" t="e" cm="1">
        <f t="array" ref="G41">_xlfn.IFS(Operations18677277828792971021071121171241291341391441491541595297222732[[#This Row],[Unit]]="Program-wide",((_xlfn.IFS(Operations18677277828792971021071121171241291341391441491541595297222732[[#This Row],[Frequency]]="Per Year",Operations18677277828792971021071121171241291341391441491541595297222732[[#This Row],[Cost]]/12,Operations18677277828792971021071121171241291341391441491541595297222732[[#This Row],[Frequency]]="Per month",Operations18677277828792971021071121171241291341391441491541595297222732[[#This Row],[Cost]],Operations18677277828792971021071121171241291341391441491541595297222732[[#This Row],[Frequency]]="Per day",Operations18677277828792971021071121171241291341391441491541595297222732[[#This Row],[Cost]]*30,Operations18677277828792971021071121171241291341391441491541595297222732[[#This Row],[Frequency]]="One-time",Operations18677277828792971021071121171241291341391441491541595297222732[[#This Row],[Cost]]/SUM(C18,C19)))/$C$17),Operations18677277828792971021071121171241291341391441491541595297222732[[#This Row],[Unit]]="Per unit/space/household",(_xlfn.IFS(Operations18677277828792971021071121171241291341391441491541595297222732[[#This Row],[Frequency]]="Per Year",Operations18677277828792971021071121171241291341391441491541595297222732[[#This Row],[Cost]]/12,Operations18677277828792971021071121171241291341391441491541595297222732[[#This Row],[Frequency]]="Per month",Operations18677277828792971021071121171241291341391441491541595297222732[[#This Row],[Cost]],Operations18677277828792971021071121171241291341391441491541595297222732[[#This Row],[Frequency]]="Per day",Operations18677277828792971021071121171241291341391441491541595297222732[[#This Row],[Cost]]*30,Operations18677277828792971021071121171241291341391441491541595297222732[[#This Row],[Frequency]]="One-time",Operations18677277828792971021071121171241291341391441491541595297222732[[#This Row],[Cost]]/SUM($C$18,$C$19))))</f>
        <v>#N/A</v>
      </c>
      <c r="H41" s="46" t="e">
        <f>Operations18677277828792971021071121171241291341391441491541595297222732[[#This Row],[Monthly Cost Per Unit]]*12</f>
        <v>#N/A</v>
      </c>
    </row>
    <row r="42" spans="1:8" x14ac:dyDescent="0.25">
      <c r="A42" s="75"/>
      <c r="B42" s="76"/>
      <c r="C42" s="77"/>
      <c r="D42" s="78"/>
      <c r="E42" s="79"/>
      <c r="F42" s="79"/>
      <c r="G42" s="53" t="e" cm="1">
        <f t="array" ref="G42">_xlfn.IFS(Operations18677277828792971021071121171241291341391441491541595297222732[[#This Row],[Unit]]="Program-wide",((_xlfn.IFS(Operations18677277828792971021071121171241291341391441491541595297222732[[#This Row],[Frequency]]="Per Year",Operations18677277828792971021071121171241291341391441491541595297222732[[#This Row],[Cost]]/12,Operations18677277828792971021071121171241291341391441491541595297222732[[#This Row],[Frequency]]="Per month",Operations18677277828792971021071121171241291341391441491541595297222732[[#This Row],[Cost]],Operations18677277828792971021071121171241291341391441491541595297222732[[#This Row],[Frequency]]="Per day",Operations18677277828792971021071121171241291341391441491541595297222732[[#This Row],[Cost]]*30,Operations18677277828792971021071121171241291341391441491541595297222732[[#This Row],[Frequency]]="One-time",Operations18677277828792971021071121171241291341391441491541595297222732[[#This Row],[Cost]]/SUM($C$18,$C$19)))/$C$17),Operations18677277828792971021071121171241291341391441491541595297222732[[#This Row],[Unit]]="Per unit/space/household",(_xlfn.IFS(Operations18677277828792971021071121171241291341391441491541595297222732[[#This Row],[Frequency]]="Per Year",Operations18677277828792971021071121171241291341391441491541595297222732[[#This Row],[Cost]]/12,Operations18677277828792971021071121171241291341391441491541595297222732[[#This Row],[Frequency]]="Per month",Operations18677277828792971021071121171241291341391441491541595297222732[[#This Row],[Cost]],Operations18677277828792971021071121171241291341391441491541595297222732[[#This Row],[Frequency]]="Per day",Operations18677277828792971021071121171241291341391441491541595297222732[[#This Row],[Cost]]*30,Operations18677277828792971021071121171241291341391441491541595297222732[[#This Row],[Frequency]]="One-time",Operations18677277828792971021071121171241291341391441491541595297222732[[#This Row],[Cost]]/SUM($C$18,$C$19))))</f>
        <v>#N/A</v>
      </c>
      <c r="H42" s="46" t="e">
        <f>Operations18677277828792971021071121171241291341391441491541595297222732[[#This Row],[Monthly Cost Per Unit]]*12</f>
        <v>#N/A</v>
      </c>
    </row>
    <row r="43" spans="1:8" x14ac:dyDescent="0.25">
      <c r="A43" s="75"/>
      <c r="B43" s="76"/>
      <c r="C43" s="77"/>
      <c r="D43" s="78"/>
      <c r="E43" s="79"/>
      <c r="F43" s="79"/>
      <c r="G43" s="53" t="e" cm="1">
        <f t="array" ref="G43">_xlfn.IFS(Operations18677277828792971021071121171241291341391441491541595297222732[[#This Row],[Unit]]="Program-wide",((_xlfn.IFS(Operations18677277828792971021071121171241291341391441491541595297222732[[#This Row],[Frequency]]="Per Year",Operations18677277828792971021071121171241291341391441491541595297222732[[#This Row],[Cost]]/12,Operations18677277828792971021071121171241291341391441491541595297222732[[#This Row],[Frequency]]="Per month",Operations18677277828792971021071121171241291341391441491541595297222732[[#This Row],[Cost]],Operations18677277828792971021071121171241291341391441491541595297222732[[#This Row],[Frequency]]="Per day",Operations18677277828792971021071121171241291341391441491541595297222732[[#This Row],[Cost]]*30,Operations18677277828792971021071121171241291341391441491541595297222732[[#This Row],[Frequency]]="One-time",Operations18677277828792971021071121171241291341391441491541595297222732[[#This Row],[Cost]]/SUM($C$18,$C$19)))/$C$17),Operations18677277828792971021071121171241291341391441491541595297222732[[#This Row],[Unit]]="Per unit/space/household",(_xlfn.IFS(Operations18677277828792971021071121171241291341391441491541595297222732[[#This Row],[Frequency]]="Per Year",Operations18677277828792971021071121171241291341391441491541595297222732[[#This Row],[Cost]]/12,Operations18677277828792971021071121171241291341391441491541595297222732[[#This Row],[Frequency]]="Per month",Operations18677277828792971021071121171241291341391441491541595297222732[[#This Row],[Cost]],Operations18677277828792971021071121171241291341391441491541595297222732[[#This Row],[Frequency]]="Per day",Operations18677277828792971021071121171241291341391441491541595297222732[[#This Row],[Cost]]*30,Operations18677277828792971021071121171241291341391441491541595297222732[[#This Row],[Frequency]]="One-time",Operations18677277828792971021071121171241291341391441491541595297222732[[#This Row],[Cost]]/SUM($C$18,$C$19))))</f>
        <v>#N/A</v>
      </c>
      <c r="H43" s="46" t="e">
        <f>Operations18677277828792971021071121171241291341391441491541595297222732[[#This Row],[Monthly Cost Per Unit]]*12</f>
        <v>#N/A</v>
      </c>
    </row>
    <row r="44" spans="1:8" x14ac:dyDescent="0.25">
      <c r="A44" s="75"/>
      <c r="B44" s="76"/>
      <c r="C44" s="77"/>
      <c r="D44" s="78"/>
      <c r="E44" s="79"/>
      <c r="F44" s="79"/>
      <c r="G44" s="53" t="e" cm="1">
        <f t="array" ref="G44">_xlfn.IFS(Operations18677277828792971021071121171241291341391441491541595297222732[[#This Row],[Unit]]="Program-wide",((_xlfn.IFS(Operations18677277828792971021071121171241291341391441491541595297222732[[#This Row],[Frequency]]="Per Year",Operations18677277828792971021071121171241291341391441491541595297222732[[#This Row],[Cost]]/12,Operations18677277828792971021071121171241291341391441491541595297222732[[#This Row],[Frequency]]="Per month",Operations18677277828792971021071121171241291341391441491541595297222732[[#This Row],[Cost]],Operations18677277828792971021071121171241291341391441491541595297222732[[#This Row],[Frequency]]="Per day",Operations18677277828792971021071121171241291341391441491541595297222732[[#This Row],[Cost]]*30,Operations18677277828792971021071121171241291341391441491541595297222732[[#This Row],[Frequency]]="One-time",Operations18677277828792971021071121171241291341391441491541595297222732[[#This Row],[Cost]]/SUM($C$18,$C$19)))/$C$17),Operations18677277828792971021071121171241291341391441491541595297222732[[#This Row],[Unit]]="Per unit/space/household",(_xlfn.IFS(Operations18677277828792971021071121171241291341391441491541595297222732[[#This Row],[Frequency]]="Per Year",Operations18677277828792971021071121171241291341391441491541595297222732[[#This Row],[Cost]]/12,Operations18677277828792971021071121171241291341391441491541595297222732[[#This Row],[Frequency]]="Per month",Operations18677277828792971021071121171241291341391441491541595297222732[[#This Row],[Cost]],Operations18677277828792971021071121171241291341391441491541595297222732[[#This Row],[Frequency]]="Per day",Operations18677277828792971021071121171241291341391441491541595297222732[[#This Row],[Cost]]*30,Operations18677277828792971021071121171241291341391441491541595297222732[[#This Row],[Frequency]]="One-time",Operations18677277828792971021071121171241291341391441491541595297222732[[#This Row],[Cost]]/SUM($C$18,$C$19))))</f>
        <v>#N/A</v>
      </c>
      <c r="H44" s="46" t="e">
        <f>Operations18677277828792971021071121171241291341391441491541595297222732[[#This Row],[Monthly Cost Per Unit]]*12</f>
        <v>#N/A</v>
      </c>
    </row>
    <row r="45" spans="1:8" x14ac:dyDescent="0.25">
      <c r="A45" s="75"/>
      <c r="B45" s="76"/>
      <c r="C45" s="77"/>
      <c r="D45" s="78"/>
      <c r="E45" s="79"/>
      <c r="F45" s="79"/>
      <c r="G45" s="53" t="e" cm="1">
        <f t="array" ref="G45">_xlfn.IFS(Operations18677277828792971021071121171241291341391441491541595297222732[[#This Row],[Unit]]="Program-wide",((_xlfn.IFS(Operations18677277828792971021071121171241291341391441491541595297222732[[#This Row],[Frequency]]="Per Year",Operations18677277828792971021071121171241291341391441491541595297222732[[#This Row],[Cost]]/12,Operations18677277828792971021071121171241291341391441491541595297222732[[#This Row],[Frequency]]="Per month",Operations18677277828792971021071121171241291341391441491541595297222732[[#This Row],[Cost]],Operations18677277828792971021071121171241291341391441491541595297222732[[#This Row],[Frequency]]="Per day",Operations18677277828792971021071121171241291341391441491541595297222732[[#This Row],[Cost]]*30,Operations18677277828792971021071121171241291341391441491541595297222732[[#This Row],[Frequency]]="One-time",Operations18677277828792971021071121171241291341391441491541595297222732[[#This Row],[Cost]]/SUM($C$18,$C$19)))/$C$17),Operations18677277828792971021071121171241291341391441491541595297222732[[#This Row],[Unit]]="Per unit/space/household",(_xlfn.IFS(Operations18677277828792971021071121171241291341391441491541595297222732[[#This Row],[Frequency]]="Per Year",Operations18677277828792971021071121171241291341391441491541595297222732[[#This Row],[Cost]]/12,Operations18677277828792971021071121171241291341391441491541595297222732[[#This Row],[Frequency]]="Per month",Operations18677277828792971021071121171241291341391441491541595297222732[[#This Row],[Cost]],Operations18677277828792971021071121171241291341391441491541595297222732[[#This Row],[Frequency]]="Per day",Operations18677277828792971021071121171241291341391441491541595297222732[[#This Row],[Cost]]*30,Operations18677277828792971021071121171241291341391441491541595297222732[[#This Row],[Frequency]]="One-time",Operations18677277828792971021071121171241291341391441491541595297222732[[#This Row],[Cost]]/SUM($C$18,$C$19))))</f>
        <v>#N/A</v>
      </c>
      <c r="H45" s="46" t="e">
        <f>Operations18677277828792971021071121171241291341391441491541595297222732[[#This Row],[Monthly Cost Per Unit]]*12</f>
        <v>#N/A</v>
      </c>
    </row>
    <row r="46" spans="1:8" x14ac:dyDescent="0.25">
      <c r="A46" s="75"/>
      <c r="B46" s="76"/>
      <c r="C46" s="77"/>
      <c r="D46" s="78"/>
      <c r="E46" s="79"/>
      <c r="F46" s="79"/>
      <c r="G46" s="53" t="e" cm="1">
        <f t="array" ref="G46">_xlfn.IFS(Operations18677277828792971021071121171241291341391441491541595297222732[[#This Row],[Unit]]="Program-wide",((_xlfn.IFS(Operations18677277828792971021071121171241291341391441491541595297222732[[#This Row],[Frequency]]="Per Year",Operations18677277828792971021071121171241291341391441491541595297222732[[#This Row],[Cost]]/12,Operations18677277828792971021071121171241291341391441491541595297222732[[#This Row],[Frequency]]="Per month",Operations18677277828792971021071121171241291341391441491541595297222732[[#This Row],[Cost]],Operations18677277828792971021071121171241291341391441491541595297222732[[#This Row],[Frequency]]="Per day",Operations18677277828792971021071121171241291341391441491541595297222732[[#This Row],[Cost]]*30,Operations18677277828792971021071121171241291341391441491541595297222732[[#This Row],[Frequency]]="One-time",Operations18677277828792971021071121171241291341391441491541595297222732[[#This Row],[Cost]]/SUM($C$18,$C$19)))/$C$17),Operations18677277828792971021071121171241291341391441491541595297222732[[#This Row],[Unit]]="Per unit/space/household",(_xlfn.IFS(Operations18677277828792971021071121171241291341391441491541595297222732[[#This Row],[Frequency]]="Per Year",Operations18677277828792971021071121171241291341391441491541595297222732[[#This Row],[Cost]]/12,Operations18677277828792971021071121171241291341391441491541595297222732[[#This Row],[Frequency]]="Per month",Operations18677277828792971021071121171241291341391441491541595297222732[[#This Row],[Cost]],Operations18677277828792971021071121171241291341391441491541595297222732[[#This Row],[Frequency]]="Per day",Operations18677277828792971021071121171241291341391441491541595297222732[[#This Row],[Cost]]*30,Operations18677277828792971021071121171241291341391441491541595297222732[[#This Row],[Frequency]]="One-time",Operations18677277828792971021071121171241291341391441491541595297222732[[#This Row],[Cost]]/SUM($C$18,$C$19))))</f>
        <v>#N/A</v>
      </c>
      <c r="H46" s="46" t="e">
        <f>Operations18677277828792971021071121171241291341391441491541595297222732[[#This Row],[Monthly Cost Per Unit]]*12</f>
        <v>#N/A</v>
      </c>
    </row>
    <row r="47" spans="1:8" x14ac:dyDescent="0.25">
      <c r="A47" s="75"/>
      <c r="B47" s="76"/>
      <c r="C47" s="77"/>
      <c r="D47" s="78"/>
      <c r="E47" s="79"/>
      <c r="F47" s="79"/>
      <c r="G47" s="53" t="e" cm="1">
        <f t="array" ref="G47">_xlfn.IFS(Operations18677277828792971021071121171241291341391441491541595297222732[[#This Row],[Unit]]="Program-wide",((_xlfn.IFS(Operations18677277828792971021071121171241291341391441491541595297222732[[#This Row],[Frequency]]="Per Year",Operations18677277828792971021071121171241291341391441491541595297222732[[#This Row],[Cost]]/12,Operations18677277828792971021071121171241291341391441491541595297222732[[#This Row],[Frequency]]="Per month",Operations18677277828792971021071121171241291341391441491541595297222732[[#This Row],[Cost]],Operations18677277828792971021071121171241291341391441491541595297222732[[#This Row],[Frequency]]="Per day",Operations18677277828792971021071121171241291341391441491541595297222732[[#This Row],[Cost]]*30,Operations18677277828792971021071121171241291341391441491541595297222732[[#This Row],[Frequency]]="One-time",Operations18677277828792971021071121171241291341391441491541595297222732[[#This Row],[Cost]]/SUM($C$18,$C$19)))/$C$17),Operations18677277828792971021071121171241291341391441491541595297222732[[#This Row],[Unit]]="Per unit/space/household",(_xlfn.IFS(Operations18677277828792971021071121171241291341391441491541595297222732[[#This Row],[Frequency]]="Per Year",Operations18677277828792971021071121171241291341391441491541595297222732[[#This Row],[Cost]]/12,Operations18677277828792971021071121171241291341391441491541595297222732[[#This Row],[Frequency]]="Per month",Operations18677277828792971021071121171241291341391441491541595297222732[[#This Row],[Cost]],Operations18677277828792971021071121171241291341391441491541595297222732[[#This Row],[Frequency]]="Per day",Operations18677277828792971021071121171241291341391441491541595297222732[[#This Row],[Cost]]*30,Operations18677277828792971021071121171241291341391441491541595297222732[[#This Row],[Frequency]]="One-time",Operations18677277828792971021071121171241291341391441491541595297222732[[#This Row],[Cost]]/SUM($C$18,$C$19))))</f>
        <v>#N/A</v>
      </c>
      <c r="H47" s="46" t="e">
        <f>Operations18677277828792971021071121171241291341391441491541595297222732[[#This Row],[Monthly Cost Per Unit]]*12</f>
        <v>#N/A</v>
      </c>
    </row>
    <row r="48" spans="1:8" x14ac:dyDescent="0.25">
      <c r="A48" s="75"/>
      <c r="B48" s="76"/>
      <c r="C48" s="77"/>
      <c r="D48" s="78"/>
      <c r="E48" s="79"/>
      <c r="F48" s="79"/>
      <c r="G48" s="53" t="e" cm="1">
        <f t="array" ref="G48">_xlfn.IFS(Operations18677277828792971021071121171241291341391441491541595297222732[[#This Row],[Unit]]="Program-wide",((_xlfn.IFS(Operations18677277828792971021071121171241291341391441491541595297222732[[#This Row],[Frequency]]="Per Year",Operations18677277828792971021071121171241291341391441491541595297222732[[#This Row],[Cost]]/12,Operations18677277828792971021071121171241291341391441491541595297222732[[#This Row],[Frequency]]="Per month",Operations18677277828792971021071121171241291341391441491541595297222732[[#This Row],[Cost]],Operations18677277828792971021071121171241291341391441491541595297222732[[#This Row],[Frequency]]="Per day",Operations18677277828792971021071121171241291341391441491541595297222732[[#This Row],[Cost]]*30,Operations18677277828792971021071121171241291341391441491541595297222732[[#This Row],[Frequency]]="One-time",Operations18677277828792971021071121171241291341391441491541595297222732[[#This Row],[Cost]]/SUM($C$18,$C$19)))/$C$17),Operations18677277828792971021071121171241291341391441491541595297222732[[#This Row],[Unit]]="Per unit/space/household",(_xlfn.IFS(Operations18677277828792971021071121171241291341391441491541595297222732[[#This Row],[Frequency]]="Per Year",Operations18677277828792971021071121171241291341391441491541595297222732[[#This Row],[Cost]]/12,Operations18677277828792971021071121171241291341391441491541595297222732[[#This Row],[Frequency]]="Per month",Operations18677277828792971021071121171241291341391441491541595297222732[[#This Row],[Cost]],Operations18677277828792971021071121171241291341391441491541595297222732[[#This Row],[Frequency]]="Per day",Operations18677277828792971021071121171241291341391441491541595297222732[[#This Row],[Cost]]*30,Operations18677277828792971021071121171241291341391441491541595297222732[[#This Row],[Frequency]]="One-time",Operations18677277828792971021071121171241291341391441491541595297222732[[#This Row],[Cost]]/SUM($C$18,$C$19))))</f>
        <v>#N/A</v>
      </c>
      <c r="H48" s="46" t="e">
        <f>Operations18677277828792971021071121171241291341391441491541595297222732[[#This Row],[Monthly Cost Per Unit]]*12</f>
        <v>#N/A</v>
      </c>
    </row>
    <row r="49" spans="1:9" x14ac:dyDescent="0.25">
      <c r="A49" s="75"/>
      <c r="B49" s="76"/>
      <c r="C49" s="77"/>
      <c r="D49" s="78"/>
      <c r="E49" s="79"/>
      <c r="F49" s="79"/>
      <c r="G49" s="53" t="e" cm="1">
        <f t="array" ref="G49">_xlfn.IFS(Operations18677277828792971021071121171241291341391441491541595297222732[[#This Row],[Unit]]="Program-wide",((_xlfn.IFS(Operations18677277828792971021071121171241291341391441491541595297222732[[#This Row],[Frequency]]="Per Year",Operations18677277828792971021071121171241291341391441491541595297222732[[#This Row],[Cost]]/12,Operations18677277828792971021071121171241291341391441491541595297222732[[#This Row],[Frequency]]="Per month",Operations18677277828792971021071121171241291341391441491541595297222732[[#This Row],[Cost]],Operations18677277828792971021071121171241291341391441491541595297222732[[#This Row],[Frequency]]="Per day",Operations18677277828792971021071121171241291341391441491541595297222732[[#This Row],[Cost]]*30,Operations18677277828792971021071121171241291341391441491541595297222732[[#This Row],[Frequency]]="One-time",Operations18677277828792971021071121171241291341391441491541595297222732[[#This Row],[Cost]]/SUM($C$18,$C$19)))/$C$17),Operations18677277828792971021071121171241291341391441491541595297222732[[#This Row],[Unit]]="Per unit/space/household",(_xlfn.IFS(Operations18677277828792971021071121171241291341391441491541595297222732[[#This Row],[Frequency]]="Per Year",Operations18677277828792971021071121171241291341391441491541595297222732[[#This Row],[Cost]]/12,Operations18677277828792971021071121171241291341391441491541595297222732[[#This Row],[Frequency]]="Per month",Operations18677277828792971021071121171241291341391441491541595297222732[[#This Row],[Cost]],Operations18677277828792971021071121171241291341391441491541595297222732[[#This Row],[Frequency]]="Per day",Operations18677277828792971021071121171241291341391441491541595297222732[[#This Row],[Cost]]*30,Operations18677277828792971021071121171241291341391441491541595297222732[[#This Row],[Frequency]]="One-time",Operations18677277828792971021071121171241291341391441491541595297222732[[#This Row],[Cost]]/SUM($C$18,$C$19))))</f>
        <v>#N/A</v>
      </c>
      <c r="H49" s="46" t="e">
        <f>Operations18677277828792971021071121171241291341391441491541595297222732[[#This Row],[Monthly Cost Per Unit]]*12</f>
        <v>#N/A</v>
      </c>
    </row>
    <row r="50" spans="1:9" x14ac:dyDescent="0.25">
      <c r="A50" s="75"/>
      <c r="B50" s="76"/>
      <c r="C50" s="77"/>
      <c r="D50" s="78"/>
      <c r="E50" s="79"/>
      <c r="F50" s="79"/>
      <c r="G50" s="53" t="e" cm="1">
        <f t="array" ref="G50">_xlfn.IFS(Operations18677277828792971021071121171241291341391441491541595297222732[[#This Row],[Unit]]="Program-wide",((_xlfn.IFS(Operations18677277828792971021071121171241291341391441491541595297222732[[#This Row],[Frequency]]="Per Year",Operations18677277828792971021071121171241291341391441491541595297222732[[#This Row],[Cost]]/12,Operations18677277828792971021071121171241291341391441491541595297222732[[#This Row],[Frequency]]="Per month",Operations18677277828792971021071121171241291341391441491541595297222732[[#This Row],[Cost]],Operations18677277828792971021071121171241291341391441491541595297222732[[#This Row],[Frequency]]="Per day",Operations18677277828792971021071121171241291341391441491541595297222732[[#This Row],[Cost]]*30,Operations18677277828792971021071121171241291341391441491541595297222732[[#This Row],[Frequency]]="One-time",Operations18677277828792971021071121171241291341391441491541595297222732[[#This Row],[Cost]]/SUM($C$18,$C$19)))/$C$17),Operations18677277828792971021071121171241291341391441491541595297222732[[#This Row],[Unit]]="Per unit/space/household",(_xlfn.IFS(Operations18677277828792971021071121171241291341391441491541595297222732[[#This Row],[Frequency]]="Per Year",Operations18677277828792971021071121171241291341391441491541595297222732[[#This Row],[Cost]]/12,Operations18677277828792971021071121171241291341391441491541595297222732[[#This Row],[Frequency]]="Per month",Operations18677277828792971021071121171241291341391441491541595297222732[[#This Row],[Cost]],Operations18677277828792971021071121171241291341391441491541595297222732[[#This Row],[Frequency]]="Per day",Operations18677277828792971021071121171241291341391441491541595297222732[[#This Row],[Cost]]*30,Operations18677277828792971021071121171241291341391441491541595297222732[[#This Row],[Frequency]]="One-time",Operations18677277828792971021071121171241291341391441491541595297222732[[#This Row],[Cost]]/SUM($C$18,$C$19))))</f>
        <v>#N/A</v>
      </c>
      <c r="H50" s="46" t="e">
        <f>Operations18677277828792971021071121171241291341391441491541595297222732[[#This Row],[Monthly Cost Per Unit]]*12</f>
        <v>#N/A</v>
      </c>
    </row>
    <row r="51" spans="1:9" x14ac:dyDescent="0.25">
      <c r="A51" s="75"/>
      <c r="B51" s="76"/>
      <c r="C51" s="77"/>
      <c r="D51" s="78"/>
      <c r="E51" s="79"/>
      <c r="F51" s="79"/>
      <c r="G51" s="53" t="e" cm="1">
        <f t="array" ref="G51">_xlfn.IFS(Operations18677277828792971021071121171241291341391441491541595297222732[[#This Row],[Unit]]="Program-wide",((_xlfn.IFS(Operations18677277828792971021071121171241291341391441491541595297222732[[#This Row],[Frequency]]="Per Year",Operations18677277828792971021071121171241291341391441491541595297222732[[#This Row],[Cost]]/12,Operations18677277828792971021071121171241291341391441491541595297222732[[#This Row],[Frequency]]="Per month",Operations18677277828792971021071121171241291341391441491541595297222732[[#This Row],[Cost]],Operations18677277828792971021071121171241291341391441491541595297222732[[#This Row],[Frequency]]="Per day",Operations18677277828792971021071121171241291341391441491541595297222732[[#This Row],[Cost]]*30,Operations18677277828792971021071121171241291341391441491541595297222732[[#This Row],[Frequency]]="One-time",Operations18677277828792971021071121171241291341391441491541595297222732[[#This Row],[Cost]]/SUM($C$18,$C$19)))/$C$17),Operations18677277828792971021071121171241291341391441491541595297222732[[#This Row],[Unit]]="Per unit/space/household",(_xlfn.IFS(Operations18677277828792971021071121171241291341391441491541595297222732[[#This Row],[Frequency]]="Per Year",Operations18677277828792971021071121171241291341391441491541595297222732[[#This Row],[Cost]]/12,Operations18677277828792971021071121171241291341391441491541595297222732[[#This Row],[Frequency]]="Per month",Operations18677277828792971021071121171241291341391441491541595297222732[[#This Row],[Cost]],Operations18677277828792971021071121171241291341391441491541595297222732[[#This Row],[Frequency]]="Per day",Operations18677277828792971021071121171241291341391441491541595297222732[[#This Row],[Cost]]*30,Operations18677277828792971021071121171241291341391441491541595297222732[[#This Row],[Frequency]]="One-time",Operations18677277828792971021071121171241291341391441491541595297222732[[#This Row],[Cost]]/SUM($C$18,$C$19))))</f>
        <v>#N/A</v>
      </c>
      <c r="H51" s="46" t="e">
        <f>Operations18677277828792971021071121171241291341391441491541595297222732[[#This Row],[Monthly Cost Per Unit]]*12</f>
        <v>#N/A</v>
      </c>
    </row>
    <row r="52" spans="1:9" x14ac:dyDescent="0.25">
      <c r="A52" s="75"/>
      <c r="B52" s="76"/>
      <c r="C52" s="77"/>
      <c r="D52" s="78"/>
      <c r="E52" s="79"/>
      <c r="F52" s="79"/>
      <c r="G52" s="55" t="e" cm="1">
        <f t="array" ref="G52">_xlfn.IFS(Operations18677277828792971021071121171241291341391441491541595297222732[[#This Row],[Unit]]="Program-wide",((_xlfn.IFS(Operations18677277828792971021071121171241291341391441491541595297222732[[#This Row],[Frequency]]="Per Year",Operations18677277828792971021071121171241291341391441491541595297222732[[#This Row],[Cost]]/12,Operations18677277828792971021071121171241291341391441491541595297222732[[#This Row],[Frequency]]="Per month",Operations18677277828792971021071121171241291341391441491541595297222732[[#This Row],[Cost]],Operations18677277828792971021071121171241291341391441491541595297222732[[#This Row],[Frequency]]="Per day",Operations18677277828792971021071121171241291341391441491541595297222732[[#This Row],[Cost]]*30,Operations18677277828792971021071121171241291341391441491541595297222732[[#This Row],[Frequency]]="One-time",Operations18677277828792971021071121171241291341391441491541595297222732[[#This Row],[Cost]]/SUM($C$18,$C$19)))/$C$17),Operations18677277828792971021071121171241291341391441491541595297222732[[#This Row],[Unit]]="Per unit/space/household",(_xlfn.IFS(Operations18677277828792971021071121171241291341391441491541595297222732[[#This Row],[Frequency]]="Per Year",Operations18677277828792971021071121171241291341391441491541595297222732[[#This Row],[Cost]]/12,Operations18677277828792971021071121171241291341391441491541595297222732[[#This Row],[Frequency]]="Per month",Operations18677277828792971021071121171241291341391441491541595297222732[[#This Row],[Cost]],Operations18677277828792971021071121171241291341391441491541595297222732[[#This Row],[Frequency]]="Per day",Operations18677277828792971021071121171241291341391441491541595297222732[[#This Row],[Cost]]*30,Operations18677277828792971021071121171241291341391441491541595297222732[[#This Row],[Frequency]]="One-time",Operations18677277828792971021071121171241291341391441491541595297222732[[#This Row],[Cost]]/SUM($C$18,$C$19))))</f>
        <v>#N/A</v>
      </c>
      <c r="H52" s="46" t="e">
        <f>Operations18677277828792971021071121171241291341391441491541595297222732[[#This Row],[Monthly Cost Per Unit]]*12</f>
        <v>#N/A</v>
      </c>
    </row>
    <row r="53" spans="1:9" x14ac:dyDescent="0.25">
      <c r="A53" s="107" t="s">
        <v>20</v>
      </c>
      <c r="B53" s="107"/>
      <c r="C53" s="108" t="s">
        <v>68</v>
      </c>
      <c r="D53" s="109"/>
      <c r="E53" s="108"/>
      <c r="F53" s="108"/>
      <c r="G53" s="118"/>
      <c r="H53" s="111">
        <f>(SUMIF(Operations18677277828792971021071121171241291341391441491541595297222732[Duration],"While homeless only",Operations18677277828792971021071121171241291341391441491541595297222732[Monthly Cost Per Unit]))*12</f>
        <v>0</v>
      </c>
    </row>
    <row r="54" spans="1:9" x14ac:dyDescent="0.25">
      <c r="A54" s="112"/>
      <c r="B54" s="112"/>
      <c r="C54" s="108" t="s">
        <v>63</v>
      </c>
      <c r="D54" s="109"/>
      <c r="E54" s="108"/>
      <c r="F54" s="108"/>
      <c r="G54" s="111"/>
      <c r="H54" s="111">
        <f>(SUMIF(Operations18677277828792971021071121171241291341391441491541595297222732[Duration],"While housed only",Operations18677277828792971021071121171241291341391441491541595297222732[Monthly Cost Per Unit]))*12</f>
        <v>0</v>
      </c>
    </row>
    <row r="55" spans="1:9" x14ac:dyDescent="0.25">
      <c r="A55" s="112"/>
      <c r="B55" s="112"/>
      <c r="C55" s="108" t="s">
        <v>58</v>
      </c>
      <c r="D55" s="109"/>
      <c r="E55" s="108"/>
      <c r="F55" s="108"/>
      <c r="G55" s="111"/>
      <c r="H55" s="111">
        <f>(SUMIF(Operations18677277828792971021071121171241291341391441491541595297222732[Duration],"Homeless &amp; housed",Operations18677277828792971021071121171241291341391441491541595297222732[Monthly Cost Per Unit]))*12</f>
        <v>0</v>
      </c>
    </row>
    <row r="56" spans="1:9" ht="15.75" thickBot="1" x14ac:dyDescent="0.3">
      <c r="A56" s="113"/>
      <c r="B56" s="113"/>
      <c r="C56" s="114" t="s">
        <v>207</v>
      </c>
      <c r="D56" s="115"/>
      <c r="E56" s="114"/>
      <c r="F56" s="114"/>
      <c r="G56" s="117"/>
      <c r="H56" s="117">
        <f>(SUMIF(Operations18677277828792971021071121171241291341391441491541595297222732[Duration],"N/A",Operations18677277828792971021071121171241291341391441491541595297222732[Monthly Cost Per Unit]))*12</f>
        <v>0</v>
      </c>
    </row>
    <row r="57" spans="1:9" ht="16.5" thickTop="1" thickBot="1" x14ac:dyDescent="0.3">
      <c r="A57" s="113"/>
      <c r="B57" s="113"/>
      <c r="C57" s="114" t="s">
        <v>42</v>
      </c>
      <c r="D57" s="115"/>
      <c r="E57" s="114"/>
      <c r="F57" s="114"/>
      <c r="G57" s="117"/>
      <c r="H57" s="117">
        <f>SUM(H53:H56)</f>
        <v>0</v>
      </c>
    </row>
    <row r="58" spans="1:9" ht="15.75" thickTop="1" x14ac:dyDescent="0.25">
      <c r="A58" s="134"/>
      <c r="B58" s="134"/>
      <c r="C58" s="135"/>
      <c r="D58" s="136"/>
      <c r="E58" s="137"/>
      <c r="F58" s="137"/>
      <c r="G58" s="138"/>
    </row>
    <row r="59" spans="1:9" x14ac:dyDescent="0.25">
      <c r="A59" s="274" t="s">
        <v>69</v>
      </c>
      <c r="B59" s="274"/>
      <c r="C59" s="274"/>
      <c r="D59" s="274"/>
      <c r="E59" s="274"/>
      <c r="F59" s="274"/>
      <c r="G59" s="274"/>
      <c r="H59" s="274"/>
      <c r="I59" s="129"/>
    </row>
    <row r="60" spans="1:9" ht="27.95" customHeight="1" outlineLevel="1" x14ac:dyDescent="0.25">
      <c r="A60" s="281" t="s">
        <v>108</v>
      </c>
      <c r="B60" s="281"/>
      <c r="C60" s="281"/>
      <c r="D60" s="281"/>
      <c r="E60" s="281"/>
      <c r="F60" s="281"/>
      <c r="G60" s="281"/>
      <c r="H60" s="281"/>
      <c r="I60" s="129"/>
    </row>
    <row r="61" spans="1:9" ht="18" customHeight="1" outlineLevel="1" x14ac:dyDescent="0.25">
      <c r="A61" s="279" t="s">
        <v>70</v>
      </c>
      <c r="B61" s="279"/>
      <c r="C61" s="279"/>
      <c r="D61" s="279"/>
      <c r="E61" s="279"/>
      <c r="F61" s="279"/>
      <c r="G61" s="92"/>
      <c r="H61" s="10"/>
      <c r="I61" s="129"/>
    </row>
    <row r="62" spans="1:9" ht="45" customHeight="1" outlineLevel="1" x14ac:dyDescent="0.25">
      <c r="A62" s="278" t="s">
        <v>118</v>
      </c>
      <c r="B62" s="278"/>
      <c r="C62" s="278"/>
      <c r="D62" s="278"/>
      <c r="E62" s="278"/>
      <c r="F62" s="278"/>
      <c r="G62" s="92"/>
      <c r="H62" s="10"/>
      <c r="I62" s="129"/>
    </row>
    <row r="63" spans="1:9" ht="60.75" thickBot="1" x14ac:dyDescent="0.3">
      <c r="A63" s="128"/>
      <c r="B63" t="s">
        <v>71</v>
      </c>
      <c r="C63" s="11" t="s">
        <v>72</v>
      </c>
      <c r="D63" s="11" t="s">
        <v>73</v>
      </c>
      <c r="E63" s="11" t="s">
        <v>74</v>
      </c>
      <c r="F63" s="31" t="s">
        <v>75</v>
      </c>
      <c r="G63" s="10"/>
    </row>
    <row r="64" spans="1:9" ht="16.5" thickTop="1" thickBot="1" x14ac:dyDescent="0.3">
      <c r="A64" s="139" t="s">
        <v>76</v>
      </c>
      <c r="B64" s="90">
        <v>0</v>
      </c>
      <c r="C64" s="91">
        <v>0</v>
      </c>
      <c r="D64" s="91">
        <v>0</v>
      </c>
      <c r="E64" s="91">
        <v>0</v>
      </c>
      <c r="F64" s="140">
        <f>SUM(D64:E64)</f>
        <v>0</v>
      </c>
      <c r="G64" s="10"/>
    </row>
    <row r="65" spans="1:9" s="3" customFormat="1" ht="16.5" thickTop="1" thickBot="1" x14ac:dyDescent="0.3">
      <c r="A65" s="139" t="s">
        <v>77</v>
      </c>
      <c r="B65" s="90">
        <v>0</v>
      </c>
      <c r="C65" s="91">
        <v>0</v>
      </c>
      <c r="D65" s="91">
        <v>0</v>
      </c>
      <c r="E65" s="91">
        <v>0</v>
      </c>
      <c r="F65" s="140">
        <f t="shared" ref="F65:F71" si="0">SUM(D65:E65)</f>
        <v>0</v>
      </c>
      <c r="G65" s="10"/>
    </row>
    <row r="66" spans="1:9" ht="16.5" thickTop="1" thickBot="1" x14ac:dyDescent="0.3">
      <c r="A66" s="139" t="s">
        <v>78</v>
      </c>
      <c r="B66" s="90">
        <v>0</v>
      </c>
      <c r="C66" s="91">
        <v>0</v>
      </c>
      <c r="D66" s="91">
        <v>0</v>
      </c>
      <c r="E66" s="91">
        <v>0</v>
      </c>
      <c r="F66" s="140">
        <f t="shared" si="0"/>
        <v>0</v>
      </c>
      <c r="G66" s="10"/>
    </row>
    <row r="67" spans="1:9" ht="16.5" thickTop="1" thickBot="1" x14ac:dyDescent="0.3">
      <c r="A67" s="139" t="s">
        <v>79</v>
      </c>
      <c r="B67" s="90">
        <v>0</v>
      </c>
      <c r="C67" s="91">
        <v>0</v>
      </c>
      <c r="D67" s="91">
        <v>0</v>
      </c>
      <c r="E67" s="91">
        <v>0</v>
      </c>
      <c r="F67" s="140">
        <f t="shared" si="0"/>
        <v>0</v>
      </c>
      <c r="G67" s="10"/>
    </row>
    <row r="68" spans="1:9" ht="16.5" thickTop="1" thickBot="1" x14ac:dyDescent="0.3">
      <c r="A68" s="139" t="s">
        <v>80</v>
      </c>
      <c r="B68" s="90">
        <v>0</v>
      </c>
      <c r="C68" s="91">
        <v>0</v>
      </c>
      <c r="D68" s="91">
        <v>0</v>
      </c>
      <c r="E68" s="91">
        <v>0</v>
      </c>
      <c r="F68" s="140">
        <f t="shared" si="0"/>
        <v>0</v>
      </c>
      <c r="G68" s="10"/>
    </row>
    <row r="69" spans="1:9" ht="16.5" thickTop="1" thickBot="1" x14ac:dyDescent="0.3">
      <c r="A69" s="139" t="s">
        <v>81</v>
      </c>
      <c r="B69" s="90">
        <v>0</v>
      </c>
      <c r="C69" s="91">
        <v>0</v>
      </c>
      <c r="D69" s="91">
        <v>0</v>
      </c>
      <c r="E69" s="91">
        <v>0</v>
      </c>
      <c r="F69" s="140">
        <f t="shared" si="0"/>
        <v>0</v>
      </c>
      <c r="G69" s="10"/>
    </row>
    <row r="70" spans="1:9" ht="16.5" thickTop="1" thickBot="1" x14ac:dyDescent="0.3">
      <c r="A70" s="139" t="s">
        <v>82</v>
      </c>
      <c r="B70" s="90">
        <v>0</v>
      </c>
      <c r="C70" s="91">
        <v>0</v>
      </c>
      <c r="D70" s="91">
        <v>0</v>
      </c>
      <c r="E70" s="91">
        <v>0</v>
      </c>
      <c r="F70" s="140">
        <f t="shared" si="0"/>
        <v>0</v>
      </c>
      <c r="G70" s="10"/>
    </row>
    <row r="71" spans="1:9" ht="16.5" thickTop="1" thickBot="1" x14ac:dyDescent="0.3">
      <c r="A71" s="139" t="s">
        <v>83</v>
      </c>
      <c r="B71" s="90">
        <v>0</v>
      </c>
      <c r="C71" s="91">
        <v>0</v>
      </c>
      <c r="D71" s="91">
        <v>0</v>
      </c>
      <c r="E71" s="91">
        <v>0</v>
      </c>
      <c r="F71" s="140">
        <f t="shared" si="0"/>
        <v>0</v>
      </c>
      <c r="G71" s="10"/>
    </row>
    <row r="72" spans="1:9" ht="15.75" thickTop="1" x14ac:dyDescent="0.25">
      <c r="A72" s="141" t="s">
        <v>21</v>
      </c>
      <c r="C72" s="142" t="e">
        <f>SUM((C64*B64),(C65*B65),(C66*B66),(C67*B67),(C68*B68),(C69*B69),(C70*B70),(C71*B71))/(SUM(B64:B71))</f>
        <v>#DIV/0!</v>
      </c>
      <c r="D72" s="142" t="e">
        <f>SUM((D64*B64),(D65*B65),(D66*B66),(D67*B67),(D68*B68),(D69*B69),(D70*B70),(D71*B71))/(SUM(B64:B71))</f>
        <v>#DIV/0!</v>
      </c>
      <c r="E72" s="142" t="e">
        <f>SUM((E64*B64),(E65*B65),(E66*B66),(E67*B67),(E68*B68),(E69*B69),(E70*B70),(E71*B71))/(SUM(B64:B71))</f>
        <v>#DIV/0!</v>
      </c>
      <c r="F72" s="143" t="e">
        <f>SUM((F64*B64),(F65*B65),(F66*B66),(F67*B67),(F68*B68),(F69*B69),(F70*B70),(F71*B71))/(SUM(B64:B71))</f>
        <v>#DIV/0!</v>
      </c>
      <c r="G72" s="10"/>
    </row>
    <row r="73" spans="1:9" x14ac:dyDescent="0.25">
      <c r="A73" s="144"/>
      <c r="B73" s="145"/>
      <c r="C73" s="145"/>
      <c r="E73" s="10"/>
      <c r="F73" s="10"/>
      <c r="G73" s="129"/>
    </row>
    <row r="74" spans="1:9" x14ac:dyDescent="0.25">
      <c r="A74" s="279" t="s">
        <v>84</v>
      </c>
      <c r="B74" s="279"/>
      <c r="C74" s="279"/>
      <c r="D74" s="279"/>
      <c r="E74" s="279"/>
      <c r="F74" s="279"/>
      <c r="G74" s="279"/>
      <c r="H74" s="279"/>
    </row>
    <row r="75" spans="1:9" s="1" customFormat="1" ht="50.25" customHeight="1" outlineLevel="1" x14ac:dyDescent="0.25">
      <c r="A75" s="278" t="s">
        <v>119</v>
      </c>
      <c r="B75" s="278"/>
      <c r="C75" s="278"/>
      <c r="D75" s="278"/>
      <c r="E75" s="278"/>
      <c r="F75" s="278"/>
      <c r="G75" s="278"/>
      <c r="H75" s="278"/>
      <c r="I75"/>
    </row>
    <row r="76" spans="1:9" s="3" customFormat="1" ht="28.35" customHeight="1" x14ac:dyDescent="0.25">
      <c r="A76" s="131" t="s">
        <v>51</v>
      </c>
      <c r="B76" s="131" t="s">
        <v>52</v>
      </c>
      <c r="C76" s="131" t="s">
        <v>53</v>
      </c>
      <c r="D76" s="131" t="s">
        <v>54</v>
      </c>
      <c r="E76" s="131" t="s">
        <v>55</v>
      </c>
      <c r="F76" s="131" t="s">
        <v>56</v>
      </c>
      <c r="G76" s="131" t="s">
        <v>57</v>
      </c>
      <c r="H76" s="132" t="s">
        <v>20</v>
      </c>
    </row>
    <row r="77" spans="1:9" x14ac:dyDescent="0.25">
      <c r="A77" s="75"/>
      <c r="B77" s="75"/>
      <c r="C77" s="77"/>
      <c r="D77" s="78"/>
      <c r="E77" s="79"/>
      <c r="F77" s="79"/>
      <c r="G77" s="53" t="e" cm="1">
        <f t="array" ref="G77">_xlfn.IFS(RentalAssistance19687378838893981031081131181251301351401451501551605398232833[[#This Row],[Unit]]="Program-wide",((_xlfn.IFS(RentalAssistance19687378838893981031081131181251301351401451501551605398232833[[#This Row],[Frequency]]="Per Year",RentalAssistance19687378838893981031081131181251301351401451501551605398232833[[#This Row],[Cost]]/12,RentalAssistance19687378838893981031081131181251301351401451501551605398232833[[#This Row],[Frequency]]="Per month",RentalAssistance19687378838893981031081131181251301351401451501551605398232833[[#This Row],[Cost]],RentalAssistance19687378838893981031081131181251301351401451501551605398232833[[#This Row],[Frequency]]="Per day",RentalAssistance19687378838893981031081131181251301351401451501551605398232833[[#This Row],[Cost]]*30,RentalAssistance19687378838893981031081131181251301351401451501551605398232833[[#This Row],[Frequency]]="One-time",RentalAssistance19687378838893981031081131181251301351401451501551605398232833[[#This Row],[Cost]]/SUM($C$18,$C$19)))/$C$17),RentalAssistance19687378838893981031081131181251301351401451501551605398232833[[#This Row],[Unit]]="Per unit/space/household",(_xlfn.IFS(RentalAssistance19687378838893981031081131181251301351401451501551605398232833[[#This Row],[Frequency]]="Per Year",RentalAssistance19687378838893981031081131181251301351401451501551605398232833[[#This Row],[Cost]]/12,RentalAssistance19687378838893981031081131181251301351401451501551605398232833[[#This Row],[Frequency]]="Per month",RentalAssistance19687378838893981031081131181251301351401451501551605398232833[[#This Row],[Cost]],RentalAssistance19687378838893981031081131181251301351401451501551605398232833[[#This Row],[Frequency]]="Per day",RentalAssistance19687378838893981031081131181251301351401451501551605398232833[[#This Row],[Cost]]*30,RentalAssistance19687378838893981031081131181251301351401451501551605398232833[[#This Row],[Frequency]]="One-time",RentalAssistance19687378838893981031081131181251301351401451501551605398232833[[#This Row],[Cost]]/SUM($C$18,$C$19))))</f>
        <v>#N/A</v>
      </c>
      <c r="H77" s="46" t="e">
        <f>RentalAssistance19687378838893981031081131181251301351401451501551605398232833[[#This Row],[Monthly Cost Per Unit]]*12</f>
        <v>#N/A</v>
      </c>
    </row>
    <row r="78" spans="1:9" x14ac:dyDescent="0.25">
      <c r="A78" s="75"/>
      <c r="B78" s="75"/>
      <c r="C78" s="77"/>
      <c r="D78" s="78"/>
      <c r="E78" s="79"/>
      <c r="F78" s="79"/>
      <c r="G78" s="53" t="e" cm="1">
        <f t="array" ref="G78">_xlfn.IFS(RentalAssistance19687378838893981031081131181251301351401451501551605398232833[[#This Row],[Unit]]="Program-wide",((_xlfn.IFS(RentalAssistance19687378838893981031081131181251301351401451501551605398232833[[#This Row],[Frequency]]="Per Year",RentalAssistance19687378838893981031081131181251301351401451501551605398232833[[#This Row],[Cost]]/12,RentalAssistance19687378838893981031081131181251301351401451501551605398232833[[#This Row],[Frequency]]="Per month",RentalAssistance19687378838893981031081131181251301351401451501551605398232833[[#This Row],[Cost]],RentalAssistance19687378838893981031081131181251301351401451501551605398232833[[#This Row],[Frequency]]="Per day",RentalAssistance19687378838893981031081131181251301351401451501551605398232833[[#This Row],[Cost]]*30,RentalAssistance19687378838893981031081131181251301351401451501551605398232833[[#This Row],[Frequency]]="One-time",RentalAssistance19687378838893981031081131181251301351401451501551605398232833[[#This Row],[Cost]]/SUM($C$18,$C$19)))/$C$17),RentalAssistance19687378838893981031081131181251301351401451501551605398232833[[#This Row],[Unit]]="Per unit/space/household",(_xlfn.IFS(RentalAssistance19687378838893981031081131181251301351401451501551605398232833[[#This Row],[Frequency]]="Per Year",RentalAssistance19687378838893981031081131181251301351401451501551605398232833[[#This Row],[Cost]]/12,RentalAssistance19687378838893981031081131181251301351401451501551605398232833[[#This Row],[Frequency]]="Per month",RentalAssistance19687378838893981031081131181251301351401451501551605398232833[[#This Row],[Cost]],RentalAssistance19687378838893981031081131181251301351401451501551605398232833[[#This Row],[Frequency]]="Per day",RentalAssistance19687378838893981031081131181251301351401451501551605398232833[[#This Row],[Cost]]*30,RentalAssistance19687378838893981031081131181251301351401451501551605398232833[[#This Row],[Frequency]]="One-time",RentalAssistance19687378838893981031081131181251301351401451501551605398232833[[#This Row],[Cost]]/SUM($C$18,$C$19))))</f>
        <v>#N/A</v>
      </c>
      <c r="H78" s="46" t="e">
        <f>RentalAssistance19687378838893981031081131181251301351401451501551605398232833[[#This Row],[Monthly Cost Per Unit]]*12</f>
        <v>#N/A</v>
      </c>
    </row>
    <row r="79" spans="1:9" x14ac:dyDescent="0.25">
      <c r="A79" s="75"/>
      <c r="B79" s="75"/>
      <c r="C79" s="77"/>
      <c r="D79" s="78"/>
      <c r="E79" s="79"/>
      <c r="F79" s="79"/>
      <c r="G79" s="53" t="e" cm="1">
        <f t="array" ref="G79">_xlfn.IFS(RentalAssistance19687378838893981031081131181251301351401451501551605398232833[[#This Row],[Unit]]="Program-wide",((_xlfn.IFS(RentalAssistance19687378838893981031081131181251301351401451501551605398232833[[#This Row],[Frequency]]="Per Year",RentalAssistance19687378838893981031081131181251301351401451501551605398232833[[#This Row],[Cost]]/12,RentalAssistance19687378838893981031081131181251301351401451501551605398232833[[#This Row],[Frequency]]="Per month",RentalAssistance19687378838893981031081131181251301351401451501551605398232833[[#This Row],[Cost]],RentalAssistance19687378838893981031081131181251301351401451501551605398232833[[#This Row],[Frequency]]="Per day",RentalAssistance19687378838893981031081131181251301351401451501551605398232833[[#This Row],[Cost]]*30,RentalAssistance19687378838893981031081131181251301351401451501551605398232833[[#This Row],[Frequency]]="One-time",RentalAssistance19687378838893981031081131181251301351401451501551605398232833[[#This Row],[Cost]]/SUM($C$18,$C$19)))/$C$17),RentalAssistance19687378838893981031081131181251301351401451501551605398232833[[#This Row],[Unit]]="Per unit/space/household",(_xlfn.IFS(RentalAssistance19687378838893981031081131181251301351401451501551605398232833[[#This Row],[Frequency]]="Per Year",RentalAssistance19687378838893981031081131181251301351401451501551605398232833[[#This Row],[Cost]]/12,RentalAssistance19687378838893981031081131181251301351401451501551605398232833[[#This Row],[Frequency]]="Per month",RentalAssistance19687378838893981031081131181251301351401451501551605398232833[[#This Row],[Cost]],RentalAssistance19687378838893981031081131181251301351401451501551605398232833[[#This Row],[Frequency]]="Per day",RentalAssistance19687378838893981031081131181251301351401451501551605398232833[[#This Row],[Cost]]*30,RentalAssistance19687378838893981031081131181251301351401451501551605398232833[[#This Row],[Frequency]]="One-time",RentalAssistance19687378838893981031081131181251301351401451501551605398232833[[#This Row],[Cost]]/SUM($C$18,$C$19))))</f>
        <v>#N/A</v>
      </c>
      <c r="H79" s="46" t="e">
        <f>RentalAssistance19687378838893981031081131181251301351401451501551605398232833[[#This Row],[Monthly Cost Per Unit]]*12</f>
        <v>#N/A</v>
      </c>
    </row>
    <row r="80" spans="1:9" x14ac:dyDescent="0.25">
      <c r="A80" s="75"/>
      <c r="B80" s="75"/>
      <c r="C80" s="77"/>
      <c r="D80" s="78"/>
      <c r="E80" s="79"/>
      <c r="F80" s="79"/>
      <c r="G80" s="53" t="e" cm="1">
        <f t="array" ref="G80">_xlfn.IFS(RentalAssistance19687378838893981031081131181251301351401451501551605398232833[[#This Row],[Unit]]="Program-wide",((_xlfn.IFS(RentalAssistance19687378838893981031081131181251301351401451501551605398232833[[#This Row],[Frequency]]="Per Year",RentalAssistance19687378838893981031081131181251301351401451501551605398232833[[#This Row],[Cost]]/12,RentalAssistance19687378838893981031081131181251301351401451501551605398232833[[#This Row],[Frequency]]="Per month",RentalAssistance19687378838893981031081131181251301351401451501551605398232833[[#This Row],[Cost]],RentalAssistance19687378838893981031081131181251301351401451501551605398232833[[#This Row],[Frequency]]="Per day",RentalAssistance19687378838893981031081131181251301351401451501551605398232833[[#This Row],[Cost]]*30,RentalAssistance19687378838893981031081131181251301351401451501551605398232833[[#This Row],[Frequency]]="One-time",RentalAssistance19687378838893981031081131181251301351401451501551605398232833[[#This Row],[Cost]]/SUM($C$18,$C$19)))/$C$17),RentalAssistance19687378838893981031081131181251301351401451501551605398232833[[#This Row],[Unit]]="Per unit/space/household",(_xlfn.IFS(RentalAssistance19687378838893981031081131181251301351401451501551605398232833[[#This Row],[Frequency]]="Per Year",RentalAssistance19687378838893981031081131181251301351401451501551605398232833[[#This Row],[Cost]]/12,RentalAssistance19687378838893981031081131181251301351401451501551605398232833[[#This Row],[Frequency]]="Per month",RentalAssistance19687378838893981031081131181251301351401451501551605398232833[[#This Row],[Cost]],RentalAssistance19687378838893981031081131181251301351401451501551605398232833[[#This Row],[Frequency]]="Per day",RentalAssistance19687378838893981031081131181251301351401451501551605398232833[[#This Row],[Cost]]*30,RentalAssistance19687378838893981031081131181251301351401451501551605398232833[[#This Row],[Frequency]]="One-time",RentalAssistance19687378838893981031081131181251301351401451501551605398232833[[#This Row],[Cost]]/SUM($C$18,$C$19))))</f>
        <v>#N/A</v>
      </c>
      <c r="H80" s="46" t="e">
        <f>RentalAssistance19687378838893981031081131181251301351401451501551605398232833[[#This Row],[Monthly Cost Per Unit]]*12</f>
        <v>#N/A</v>
      </c>
    </row>
    <row r="81" spans="1:8" x14ac:dyDescent="0.25">
      <c r="A81" s="75"/>
      <c r="B81" s="75"/>
      <c r="C81" s="77"/>
      <c r="D81" s="78"/>
      <c r="E81" s="79"/>
      <c r="F81" s="79"/>
      <c r="G81" s="53" t="e" cm="1">
        <f t="array" ref="G81">_xlfn.IFS(RentalAssistance19687378838893981031081131181251301351401451501551605398232833[[#This Row],[Unit]]="Program-wide",((_xlfn.IFS(RentalAssistance19687378838893981031081131181251301351401451501551605398232833[[#This Row],[Frequency]]="Per Year",RentalAssistance19687378838893981031081131181251301351401451501551605398232833[[#This Row],[Cost]]/12,RentalAssistance19687378838893981031081131181251301351401451501551605398232833[[#This Row],[Frequency]]="Per month",RentalAssistance19687378838893981031081131181251301351401451501551605398232833[[#This Row],[Cost]],RentalAssistance19687378838893981031081131181251301351401451501551605398232833[[#This Row],[Frequency]]="Per day",RentalAssistance19687378838893981031081131181251301351401451501551605398232833[[#This Row],[Cost]]*30,RentalAssistance19687378838893981031081131181251301351401451501551605398232833[[#This Row],[Frequency]]="One-time",RentalAssistance19687378838893981031081131181251301351401451501551605398232833[[#This Row],[Cost]]/SUM($C$18,$C$19)))/$C$17),RentalAssistance19687378838893981031081131181251301351401451501551605398232833[[#This Row],[Unit]]="Per unit/space/household",(_xlfn.IFS(RentalAssistance19687378838893981031081131181251301351401451501551605398232833[[#This Row],[Frequency]]="Per Year",RentalAssistance19687378838893981031081131181251301351401451501551605398232833[[#This Row],[Cost]]/12,RentalAssistance19687378838893981031081131181251301351401451501551605398232833[[#This Row],[Frequency]]="Per month",RentalAssistance19687378838893981031081131181251301351401451501551605398232833[[#This Row],[Cost]],RentalAssistance19687378838893981031081131181251301351401451501551605398232833[[#This Row],[Frequency]]="Per day",RentalAssistance19687378838893981031081131181251301351401451501551605398232833[[#This Row],[Cost]]*30,RentalAssistance19687378838893981031081131181251301351401451501551605398232833[[#This Row],[Frequency]]="One-time",RentalAssistance19687378838893981031081131181251301351401451501551605398232833[[#This Row],[Cost]]/SUM($C$18,$C$19))))</f>
        <v>#N/A</v>
      </c>
      <c r="H81" s="46" t="e">
        <f>RentalAssistance19687378838893981031081131181251301351401451501551605398232833[[#This Row],[Monthly Cost Per Unit]]*12</f>
        <v>#N/A</v>
      </c>
    </row>
    <row r="82" spans="1:8" x14ac:dyDescent="0.25">
      <c r="A82" s="75"/>
      <c r="B82" s="75"/>
      <c r="C82" s="77"/>
      <c r="D82" s="78"/>
      <c r="E82" s="79"/>
      <c r="F82" s="79"/>
      <c r="G82" s="53" t="e" cm="1">
        <f t="array" ref="G82">_xlfn.IFS(RentalAssistance19687378838893981031081131181251301351401451501551605398232833[[#This Row],[Unit]]="Program-wide",((_xlfn.IFS(RentalAssistance19687378838893981031081131181251301351401451501551605398232833[[#This Row],[Frequency]]="Per Year",RentalAssistance19687378838893981031081131181251301351401451501551605398232833[[#This Row],[Cost]]/12,RentalAssistance19687378838893981031081131181251301351401451501551605398232833[[#This Row],[Frequency]]="Per month",RentalAssistance19687378838893981031081131181251301351401451501551605398232833[[#This Row],[Cost]],RentalAssistance19687378838893981031081131181251301351401451501551605398232833[[#This Row],[Frequency]]="Per day",RentalAssistance19687378838893981031081131181251301351401451501551605398232833[[#This Row],[Cost]]*30,RentalAssistance19687378838893981031081131181251301351401451501551605398232833[[#This Row],[Frequency]]="One-time",RentalAssistance19687378838893981031081131181251301351401451501551605398232833[[#This Row],[Cost]]/SUM($C$18,$C$19)))/$C$17),RentalAssistance19687378838893981031081131181251301351401451501551605398232833[[#This Row],[Unit]]="Per unit/space/household",(_xlfn.IFS(RentalAssistance19687378838893981031081131181251301351401451501551605398232833[[#This Row],[Frequency]]="Per Year",RentalAssistance19687378838893981031081131181251301351401451501551605398232833[[#This Row],[Cost]]/12,RentalAssistance19687378838893981031081131181251301351401451501551605398232833[[#This Row],[Frequency]]="Per month",RentalAssistance19687378838893981031081131181251301351401451501551605398232833[[#This Row],[Cost]],RentalAssistance19687378838893981031081131181251301351401451501551605398232833[[#This Row],[Frequency]]="Per day",RentalAssistance19687378838893981031081131181251301351401451501551605398232833[[#This Row],[Cost]]*30,RentalAssistance19687378838893981031081131181251301351401451501551605398232833[[#This Row],[Frequency]]="One-time",RentalAssistance19687378838893981031081131181251301351401451501551605398232833[[#This Row],[Cost]]/SUM($C$18,$C$19))))</f>
        <v>#N/A</v>
      </c>
      <c r="H82" s="46" t="e">
        <f>RentalAssistance19687378838893981031081131181251301351401451501551605398232833[[#This Row],[Monthly Cost Per Unit]]*12</f>
        <v>#N/A</v>
      </c>
    </row>
    <row r="83" spans="1:8" x14ac:dyDescent="0.25">
      <c r="A83" s="75"/>
      <c r="B83" s="75"/>
      <c r="C83" s="77"/>
      <c r="D83" s="78"/>
      <c r="E83" s="79"/>
      <c r="F83" s="79"/>
      <c r="G83" s="53" t="e" cm="1">
        <f t="array" ref="G83">_xlfn.IFS(RentalAssistance19687378838893981031081131181251301351401451501551605398232833[[#This Row],[Unit]]="Program-wide",((_xlfn.IFS(RentalAssistance19687378838893981031081131181251301351401451501551605398232833[[#This Row],[Frequency]]="Per Year",RentalAssistance19687378838893981031081131181251301351401451501551605398232833[[#This Row],[Cost]]/12,RentalAssistance19687378838893981031081131181251301351401451501551605398232833[[#This Row],[Frequency]]="Per month",RentalAssistance19687378838893981031081131181251301351401451501551605398232833[[#This Row],[Cost]],RentalAssistance19687378838893981031081131181251301351401451501551605398232833[[#This Row],[Frequency]]="Per day",RentalAssistance19687378838893981031081131181251301351401451501551605398232833[[#This Row],[Cost]]*30,RentalAssistance19687378838893981031081131181251301351401451501551605398232833[[#This Row],[Frequency]]="One-time",RentalAssistance19687378838893981031081131181251301351401451501551605398232833[[#This Row],[Cost]]/SUM($C$18,$C$19)))/$C$17),RentalAssistance19687378838893981031081131181251301351401451501551605398232833[[#This Row],[Unit]]="Per unit/space/household",(_xlfn.IFS(RentalAssistance19687378838893981031081131181251301351401451501551605398232833[[#This Row],[Frequency]]="Per Year",RentalAssistance19687378838893981031081131181251301351401451501551605398232833[[#This Row],[Cost]]/12,RentalAssistance19687378838893981031081131181251301351401451501551605398232833[[#This Row],[Frequency]]="Per month",RentalAssistance19687378838893981031081131181251301351401451501551605398232833[[#This Row],[Cost]],RentalAssistance19687378838893981031081131181251301351401451501551605398232833[[#This Row],[Frequency]]="Per day",RentalAssistance19687378838893981031081131181251301351401451501551605398232833[[#This Row],[Cost]]*30,RentalAssistance19687378838893981031081131181251301351401451501551605398232833[[#This Row],[Frequency]]="One-time",RentalAssistance19687378838893981031081131181251301351401451501551605398232833[[#This Row],[Cost]]/SUM($C$18,$C$19))))</f>
        <v>#N/A</v>
      </c>
      <c r="H83" s="46" t="e">
        <f>RentalAssistance19687378838893981031081131181251301351401451501551605398232833[[#This Row],[Monthly Cost Per Unit]]*12</f>
        <v>#N/A</v>
      </c>
    </row>
    <row r="84" spans="1:8" x14ac:dyDescent="0.25">
      <c r="A84" s="75"/>
      <c r="B84" s="75"/>
      <c r="C84" s="77"/>
      <c r="D84" s="78"/>
      <c r="E84" s="79"/>
      <c r="F84" s="79"/>
      <c r="G84" s="53" t="e" cm="1">
        <f t="array" ref="G84">_xlfn.IFS(RentalAssistance19687378838893981031081131181251301351401451501551605398232833[[#This Row],[Unit]]="Program-wide",((_xlfn.IFS(RentalAssistance19687378838893981031081131181251301351401451501551605398232833[[#This Row],[Frequency]]="Per Year",RentalAssistance19687378838893981031081131181251301351401451501551605398232833[[#This Row],[Cost]]/12,RentalAssistance19687378838893981031081131181251301351401451501551605398232833[[#This Row],[Frequency]]="Per month",RentalAssistance19687378838893981031081131181251301351401451501551605398232833[[#This Row],[Cost]],RentalAssistance19687378838893981031081131181251301351401451501551605398232833[[#This Row],[Frequency]]="Per day",RentalAssistance19687378838893981031081131181251301351401451501551605398232833[[#This Row],[Cost]]*30,RentalAssistance19687378838893981031081131181251301351401451501551605398232833[[#This Row],[Frequency]]="One-time",RentalAssistance19687378838893981031081131181251301351401451501551605398232833[[#This Row],[Cost]]/SUM($C$18,$C$19)))/$C$17),RentalAssistance19687378838893981031081131181251301351401451501551605398232833[[#This Row],[Unit]]="Per unit/space/household",(_xlfn.IFS(RentalAssistance19687378838893981031081131181251301351401451501551605398232833[[#This Row],[Frequency]]="Per Year",RentalAssistance19687378838893981031081131181251301351401451501551605398232833[[#This Row],[Cost]]/12,RentalAssistance19687378838893981031081131181251301351401451501551605398232833[[#This Row],[Frequency]]="Per month",RentalAssistance19687378838893981031081131181251301351401451501551605398232833[[#This Row],[Cost]],RentalAssistance19687378838893981031081131181251301351401451501551605398232833[[#This Row],[Frequency]]="Per day",RentalAssistance19687378838893981031081131181251301351401451501551605398232833[[#This Row],[Cost]]*30,RentalAssistance19687378838893981031081131181251301351401451501551605398232833[[#This Row],[Frequency]]="One-time",RentalAssistance19687378838893981031081131181251301351401451501551605398232833[[#This Row],[Cost]]/SUM($C$18,$C$19))))</f>
        <v>#N/A</v>
      </c>
      <c r="H84" s="46" t="e">
        <f>RentalAssistance19687378838893981031081131181251301351401451501551605398232833[[#This Row],[Monthly Cost Per Unit]]*12</f>
        <v>#N/A</v>
      </c>
    </row>
    <row r="85" spans="1:8" x14ac:dyDescent="0.25">
      <c r="A85" s="80"/>
      <c r="B85" s="80"/>
      <c r="C85" s="82"/>
      <c r="D85" s="83"/>
      <c r="E85" s="84"/>
      <c r="F85" s="84"/>
      <c r="G85" s="55" t="e" cm="1">
        <f t="array" ref="G85">_xlfn.IFS(RentalAssistance19687378838893981031081131181251301351401451501551605398232833[[#This Row],[Unit]]="Program-wide",((_xlfn.IFS(RentalAssistance19687378838893981031081131181251301351401451501551605398232833[[#This Row],[Frequency]]="Per Year",RentalAssistance19687378838893981031081131181251301351401451501551605398232833[[#This Row],[Cost]]/12,RentalAssistance19687378838893981031081131181251301351401451501551605398232833[[#This Row],[Frequency]]="Per month",RentalAssistance19687378838893981031081131181251301351401451501551605398232833[[#This Row],[Cost]],RentalAssistance19687378838893981031081131181251301351401451501551605398232833[[#This Row],[Frequency]]="Per day",RentalAssistance19687378838893981031081131181251301351401451501551605398232833[[#This Row],[Cost]]*30,RentalAssistance19687378838893981031081131181251301351401451501551605398232833[[#This Row],[Frequency]]="One-time",RentalAssistance19687378838893981031081131181251301351401451501551605398232833[[#This Row],[Cost]]/SUM($C$18,$C$19)))/$C$17),RentalAssistance19687378838893981031081131181251301351401451501551605398232833[[#This Row],[Unit]]="Per unit/space/household",(_xlfn.IFS(RentalAssistance19687378838893981031081131181251301351401451501551605398232833[[#This Row],[Frequency]]="Per Year",RentalAssistance19687378838893981031081131181251301351401451501551605398232833[[#This Row],[Cost]]/12,RentalAssistance19687378838893981031081131181251301351401451501551605398232833[[#This Row],[Frequency]]="Per month",RentalAssistance19687378838893981031081131181251301351401451501551605398232833[[#This Row],[Cost]],RentalAssistance19687378838893981031081131181251301351401451501551605398232833[[#This Row],[Frequency]]="Per day",RentalAssistance19687378838893981031081131181251301351401451501551605398232833[[#This Row],[Cost]]*30,RentalAssistance19687378838893981031081131181251301351401451501551605398232833[[#This Row],[Frequency]]="One-time",RentalAssistance19687378838893981031081131181251301351401451501551605398232833[[#This Row],[Cost]]/SUM($C$18,$C$19))))</f>
        <v>#N/A</v>
      </c>
      <c r="H85" s="46" t="e">
        <f>RentalAssistance19687378838893981031081131181251301351401451501551605398232833[[#This Row],[Monthly Cost Per Unit]]*12</f>
        <v>#N/A</v>
      </c>
    </row>
    <row r="86" spans="1:8" x14ac:dyDescent="0.25">
      <c r="A86" s="107" t="s">
        <v>20</v>
      </c>
      <c r="B86" s="107"/>
      <c r="C86" s="108" t="s">
        <v>68</v>
      </c>
      <c r="D86" s="109"/>
      <c r="E86" s="108"/>
      <c r="F86" s="108"/>
      <c r="G86" s="118"/>
      <c r="H86" s="111">
        <f>(SUMIF(RentalAssistance19687378838893981031081131181251301351401451501551605398232833[Duration],"While homeless only",RentalAssistance19687378838893981031081131181251301351401451501551605398232833[Monthly Cost Per Unit]))*12</f>
        <v>0</v>
      </c>
    </row>
    <row r="87" spans="1:8" x14ac:dyDescent="0.25">
      <c r="A87" s="112"/>
      <c r="B87" s="112"/>
      <c r="C87" s="108" t="s">
        <v>63</v>
      </c>
      <c r="D87" s="109"/>
      <c r="E87" s="108"/>
      <c r="F87" s="108"/>
      <c r="G87" s="111"/>
      <c r="H87" s="111">
        <f>(SUMIF(RentalAssistance19687378838893981031081131181251301351401451501551605398232833[Duration],"While housed only",RentalAssistance19687378838893981031081131181251301351401451501551605398232833[Monthly Cost Per Unit]))*12</f>
        <v>0</v>
      </c>
    </row>
    <row r="88" spans="1:8" x14ac:dyDescent="0.25">
      <c r="A88" s="112"/>
      <c r="B88" s="112"/>
      <c r="C88" s="108" t="s">
        <v>58</v>
      </c>
      <c r="D88" s="109"/>
      <c r="E88" s="108"/>
      <c r="F88" s="108"/>
      <c r="G88" s="111"/>
      <c r="H88" s="111">
        <f>(SUMIF(RentalAssistance19687378838893981031081131181251301351401451501551605398232833[Duration],"Homeless &amp; housed",RentalAssistance19687378838893981031081131181251301351401451501551605398232833[Monthly Cost Per Unit]))*12</f>
        <v>0</v>
      </c>
    </row>
    <row r="89" spans="1:8" ht="15.75" thickBot="1" x14ac:dyDescent="0.3">
      <c r="A89" s="113"/>
      <c r="B89" s="113"/>
      <c r="C89" s="114" t="s">
        <v>207</v>
      </c>
      <c r="D89" s="115"/>
      <c r="E89" s="114"/>
      <c r="F89" s="114"/>
      <c r="G89" s="117"/>
      <c r="H89" s="117">
        <f>(SUMIF(RentalAssistance19687378838893981031081131181251301351401451501551605398232833[Duration],"N/A",RentalAssistance19687378838893981031081131181251301351401451501551605398232833[Monthly Cost Per Unit]))*12</f>
        <v>0</v>
      </c>
    </row>
    <row r="90" spans="1:8" ht="16.5" thickTop="1" thickBot="1" x14ac:dyDescent="0.3">
      <c r="A90" s="113"/>
      <c r="B90" s="113"/>
      <c r="C90" s="114" t="s">
        <v>42</v>
      </c>
      <c r="D90" s="115"/>
      <c r="E90" s="114"/>
      <c r="F90" s="114"/>
      <c r="G90" s="117"/>
      <c r="H90" s="117">
        <f>SUM(H86:H89)</f>
        <v>0</v>
      </c>
    </row>
    <row r="91" spans="1:8" ht="15.75" thickTop="1" x14ac:dyDescent="0.25">
      <c r="A91" s="146"/>
      <c r="B91" s="137"/>
      <c r="C91" s="137"/>
      <c r="D91" s="137"/>
      <c r="E91" s="137"/>
      <c r="F91" s="138"/>
      <c r="G91"/>
      <c r="H91" s="128"/>
    </row>
    <row r="92" spans="1:8" x14ac:dyDescent="0.25">
      <c r="A92" s="274" t="s">
        <v>88</v>
      </c>
      <c r="B92" s="274"/>
      <c r="C92" s="274"/>
      <c r="D92" s="274"/>
      <c r="E92" s="274"/>
      <c r="F92" s="274"/>
      <c r="G92" s="274"/>
      <c r="H92" s="274"/>
    </row>
    <row r="93" spans="1:8" ht="32.25" customHeight="1" outlineLevel="1" x14ac:dyDescent="0.25">
      <c r="A93" s="294" t="s">
        <v>89</v>
      </c>
      <c r="B93" s="294"/>
      <c r="C93" s="294"/>
      <c r="D93" s="294"/>
      <c r="E93" s="294"/>
      <c r="F93" s="294"/>
      <c r="G93" s="294"/>
      <c r="H93" s="294"/>
    </row>
    <row r="94" spans="1:8" ht="30" x14ac:dyDescent="0.25">
      <c r="A94" s="131" t="s">
        <v>51</v>
      </c>
      <c r="B94" s="131" t="s">
        <v>52</v>
      </c>
      <c r="C94" s="131" t="s">
        <v>53</v>
      </c>
      <c r="D94" s="131" t="s">
        <v>54</v>
      </c>
      <c r="E94" s="131" t="s">
        <v>55</v>
      </c>
      <c r="F94" s="131" t="s">
        <v>56</v>
      </c>
      <c r="G94" s="131" t="s">
        <v>57</v>
      </c>
      <c r="H94" s="132" t="s">
        <v>20</v>
      </c>
    </row>
    <row r="95" spans="1:8" x14ac:dyDescent="0.25">
      <c r="A95" s="75"/>
      <c r="B95" s="75"/>
      <c r="C95" s="77"/>
      <c r="D95" s="78"/>
      <c r="E95" s="79"/>
      <c r="F95" s="76"/>
      <c r="G95" s="53" t="e" cm="1">
        <f t="array" ref="G95">_xlfn.IFS(Services110697479848994991041091141191261311361411461511561615499242934[[#This Row],[Unit]]="Program-wide",((_xlfn.IFS(Services110697479848994991041091141191261311361411461511561615499242934[[#This Row],[Frequency]]="Per Year",Services110697479848994991041091141191261311361411461511561615499242934[[#This Row],[Cost]]/12,Services110697479848994991041091141191261311361411461511561615499242934[[#This Row],[Frequency]]="Per month",Services110697479848994991041091141191261311361411461511561615499242934[[#This Row],[Cost]],Services110697479848994991041091141191261311361411461511561615499242934[[#This Row],[Frequency]]="Per day",Services110697479848994991041091141191261311361411461511561615499242934[[#This Row],[Cost]]*30,Services110697479848994991041091141191261311361411461511561615499242934[[#This Row],[Frequency]]="One-time",Services110697479848994991041091141191261311361411461511561615499242934[[#This Row],[Cost]]/SUM($C$18,$C$19)))/$C$17),Services110697479848994991041091141191261311361411461511561615499242934[[#This Row],[Unit]]="Per unit/space/household",(_xlfn.IFS(Services110697479848994991041091141191261311361411461511561615499242934[[#This Row],[Frequency]]="Per Year",Services110697479848994991041091141191261311361411461511561615499242934[[#This Row],[Cost]]/12,Services110697479848994991041091141191261311361411461511561615499242934[[#This Row],[Frequency]]="Per month",Services110697479848994991041091141191261311361411461511561615499242934[[#This Row],[Cost]],Services110697479848994991041091141191261311361411461511561615499242934[[#This Row],[Frequency]]="Per day",Services110697479848994991041091141191261311361411461511561615499242934[[#This Row],[Cost]]*30,Services110697479848994991041091141191261311361411461511561615499242934[[#This Row],[Frequency]]="One-time",Services110697479848994991041091141191261311361411461511561615499242934[[#This Row],[Cost]]/SUM($C$18,$C$19))))</f>
        <v>#N/A</v>
      </c>
      <c r="H95" s="46" t="e">
        <f>Services110697479848994991041091141191261311361411461511561615499242934[[#This Row],[Monthly Cost Per Unit]]*12</f>
        <v>#N/A</v>
      </c>
    </row>
    <row r="96" spans="1:8" x14ac:dyDescent="0.25">
      <c r="A96" s="75"/>
      <c r="B96" s="75"/>
      <c r="C96" s="77"/>
      <c r="D96" s="78"/>
      <c r="E96" s="79"/>
      <c r="F96" s="76"/>
      <c r="G96" s="53" t="e" cm="1">
        <f t="array" ref="G96">_xlfn.IFS(Services110697479848994991041091141191261311361411461511561615499242934[[#This Row],[Unit]]="Program-wide",((_xlfn.IFS(Services110697479848994991041091141191261311361411461511561615499242934[[#This Row],[Frequency]]="Per Year",Services110697479848994991041091141191261311361411461511561615499242934[[#This Row],[Cost]]/12,Services110697479848994991041091141191261311361411461511561615499242934[[#This Row],[Frequency]]="Per month",Services110697479848994991041091141191261311361411461511561615499242934[[#This Row],[Cost]],Services110697479848994991041091141191261311361411461511561615499242934[[#This Row],[Frequency]]="Per day",Services110697479848994991041091141191261311361411461511561615499242934[[#This Row],[Cost]]*30,Services110697479848994991041091141191261311361411461511561615499242934[[#This Row],[Frequency]]="One-time",Services110697479848994991041091141191261311361411461511561615499242934[[#This Row],[Cost]]/SUM($C$18,$C$19)))/$C$17),Services110697479848994991041091141191261311361411461511561615499242934[[#This Row],[Unit]]="Per unit/space/household",(_xlfn.IFS(Services110697479848994991041091141191261311361411461511561615499242934[[#This Row],[Frequency]]="Per Year",Services110697479848994991041091141191261311361411461511561615499242934[[#This Row],[Cost]]/12,Services110697479848994991041091141191261311361411461511561615499242934[[#This Row],[Frequency]]="Per month",Services110697479848994991041091141191261311361411461511561615499242934[[#This Row],[Cost]],Services110697479848994991041091141191261311361411461511561615499242934[[#This Row],[Frequency]]="Per day",Services110697479848994991041091141191261311361411461511561615499242934[[#This Row],[Cost]]*30,Services110697479848994991041091141191261311361411461511561615499242934[[#This Row],[Frequency]]="One-time",Services110697479848994991041091141191261311361411461511561615499242934[[#This Row],[Cost]]/SUM($C$18,$C$19))))</f>
        <v>#N/A</v>
      </c>
      <c r="H96" s="46" t="e">
        <f>Services110697479848994991041091141191261311361411461511561615499242934[[#This Row],[Monthly Cost Per Unit]]*12</f>
        <v>#N/A</v>
      </c>
    </row>
    <row r="97" spans="1:8" x14ac:dyDescent="0.25">
      <c r="A97" s="75"/>
      <c r="B97" s="75"/>
      <c r="C97" s="77"/>
      <c r="D97" s="78"/>
      <c r="E97" s="79"/>
      <c r="F97" s="76"/>
      <c r="G97" s="53" t="e" cm="1">
        <f t="array" ref="G97">_xlfn.IFS(Services110697479848994991041091141191261311361411461511561615499242934[[#This Row],[Unit]]="Program-wide",((_xlfn.IFS(Services110697479848994991041091141191261311361411461511561615499242934[[#This Row],[Frequency]]="Per Year",Services110697479848994991041091141191261311361411461511561615499242934[[#This Row],[Cost]]/12,Services110697479848994991041091141191261311361411461511561615499242934[[#This Row],[Frequency]]="Per month",Services110697479848994991041091141191261311361411461511561615499242934[[#This Row],[Cost]],Services110697479848994991041091141191261311361411461511561615499242934[[#This Row],[Frequency]]="Per day",Services110697479848994991041091141191261311361411461511561615499242934[[#This Row],[Cost]]*30,Services110697479848994991041091141191261311361411461511561615499242934[[#This Row],[Frequency]]="One-time",Services110697479848994991041091141191261311361411461511561615499242934[[#This Row],[Cost]]/SUM($C$18,$C$19)))/$C$17),Services110697479848994991041091141191261311361411461511561615499242934[[#This Row],[Unit]]="Per unit/space/household",(_xlfn.IFS(Services110697479848994991041091141191261311361411461511561615499242934[[#This Row],[Frequency]]="Per Year",Services110697479848994991041091141191261311361411461511561615499242934[[#This Row],[Cost]]/12,Services110697479848994991041091141191261311361411461511561615499242934[[#This Row],[Frequency]]="Per month",Services110697479848994991041091141191261311361411461511561615499242934[[#This Row],[Cost]],Services110697479848994991041091141191261311361411461511561615499242934[[#This Row],[Frequency]]="Per day",Services110697479848994991041091141191261311361411461511561615499242934[[#This Row],[Cost]]*30,Services110697479848994991041091141191261311361411461511561615499242934[[#This Row],[Frequency]]="One-time",Services110697479848994991041091141191261311361411461511561615499242934[[#This Row],[Cost]]/SUM($C$18,$C$19))))</f>
        <v>#N/A</v>
      </c>
      <c r="H97" s="46" t="e">
        <f>Services110697479848994991041091141191261311361411461511561615499242934[[#This Row],[Monthly Cost Per Unit]]*12</f>
        <v>#N/A</v>
      </c>
    </row>
    <row r="98" spans="1:8" x14ac:dyDescent="0.25">
      <c r="A98" s="75"/>
      <c r="B98" s="75"/>
      <c r="C98" s="77"/>
      <c r="D98" s="78"/>
      <c r="E98" s="79"/>
      <c r="F98" s="76"/>
      <c r="G98" s="53" t="e" cm="1">
        <f t="array" ref="G98">_xlfn.IFS(Services110697479848994991041091141191261311361411461511561615499242934[[#This Row],[Unit]]="Program-wide",((_xlfn.IFS(Services110697479848994991041091141191261311361411461511561615499242934[[#This Row],[Frequency]]="Per Year",Services110697479848994991041091141191261311361411461511561615499242934[[#This Row],[Cost]]/12,Services110697479848994991041091141191261311361411461511561615499242934[[#This Row],[Frequency]]="Per month",Services110697479848994991041091141191261311361411461511561615499242934[[#This Row],[Cost]],Services110697479848994991041091141191261311361411461511561615499242934[[#This Row],[Frequency]]="Per day",Services110697479848994991041091141191261311361411461511561615499242934[[#This Row],[Cost]]*30,Services110697479848994991041091141191261311361411461511561615499242934[[#This Row],[Frequency]]="One-time",Services110697479848994991041091141191261311361411461511561615499242934[[#This Row],[Cost]]/SUM($C$18,$C$19)))/$C$17),Services110697479848994991041091141191261311361411461511561615499242934[[#This Row],[Unit]]="Per unit/space/household",(_xlfn.IFS(Services110697479848994991041091141191261311361411461511561615499242934[[#This Row],[Frequency]]="Per Year",Services110697479848994991041091141191261311361411461511561615499242934[[#This Row],[Cost]]/12,Services110697479848994991041091141191261311361411461511561615499242934[[#This Row],[Frequency]]="Per month",Services110697479848994991041091141191261311361411461511561615499242934[[#This Row],[Cost]],Services110697479848994991041091141191261311361411461511561615499242934[[#This Row],[Frequency]]="Per day",Services110697479848994991041091141191261311361411461511561615499242934[[#This Row],[Cost]]*30,Services110697479848994991041091141191261311361411461511561615499242934[[#This Row],[Frequency]]="One-time",Services110697479848994991041091141191261311361411461511561615499242934[[#This Row],[Cost]]/SUM($C$18,$C$19))))</f>
        <v>#N/A</v>
      </c>
      <c r="H98" s="46" t="e">
        <f>Services110697479848994991041091141191261311361411461511561615499242934[[#This Row],[Monthly Cost Per Unit]]*12</f>
        <v>#N/A</v>
      </c>
    </row>
    <row r="99" spans="1:8" x14ac:dyDescent="0.25">
      <c r="A99" s="75"/>
      <c r="B99" s="75"/>
      <c r="C99" s="77"/>
      <c r="D99" s="78"/>
      <c r="E99" s="79"/>
      <c r="F99" s="76"/>
      <c r="G99" s="53" t="e" cm="1">
        <f t="array" ref="G99">_xlfn.IFS(Services110697479848994991041091141191261311361411461511561615499242934[[#This Row],[Unit]]="Program-wide",((_xlfn.IFS(Services110697479848994991041091141191261311361411461511561615499242934[[#This Row],[Frequency]]="Per Year",Services110697479848994991041091141191261311361411461511561615499242934[[#This Row],[Cost]]/12,Services110697479848994991041091141191261311361411461511561615499242934[[#This Row],[Frequency]]="Per month",Services110697479848994991041091141191261311361411461511561615499242934[[#This Row],[Cost]],Services110697479848994991041091141191261311361411461511561615499242934[[#This Row],[Frequency]]="Per day",Services110697479848994991041091141191261311361411461511561615499242934[[#This Row],[Cost]]*30,Services110697479848994991041091141191261311361411461511561615499242934[[#This Row],[Frequency]]="One-time",Services110697479848994991041091141191261311361411461511561615499242934[[#This Row],[Cost]]/SUM($C$18,$C$19)))/$C$17),Services110697479848994991041091141191261311361411461511561615499242934[[#This Row],[Unit]]="Per unit/space/household",(_xlfn.IFS(Services110697479848994991041091141191261311361411461511561615499242934[[#This Row],[Frequency]]="Per Year",Services110697479848994991041091141191261311361411461511561615499242934[[#This Row],[Cost]]/12,Services110697479848994991041091141191261311361411461511561615499242934[[#This Row],[Frequency]]="Per month",Services110697479848994991041091141191261311361411461511561615499242934[[#This Row],[Cost]],Services110697479848994991041091141191261311361411461511561615499242934[[#This Row],[Frequency]]="Per day",Services110697479848994991041091141191261311361411461511561615499242934[[#This Row],[Cost]]*30,Services110697479848994991041091141191261311361411461511561615499242934[[#This Row],[Frequency]]="One-time",Services110697479848994991041091141191261311361411461511561615499242934[[#This Row],[Cost]]/SUM($C$18,$C$19))))</f>
        <v>#N/A</v>
      </c>
      <c r="H99" s="46" t="e">
        <f>Services110697479848994991041091141191261311361411461511561615499242934[[#This Row],[Monthly Cost Per Unit]]*12</f>
        <v>#N/A</v>
      </c>
    </row>
    <row r="100" spans="1:8" x14ac:dyDescent="0.25">
      <c r="A100" s="75"/>
      <c r="B100" s="75"/>
      <c r="C100" s="77"/>
      <c r="D100" s="78"/>
      <c r="E100" s="79"/>
      <c r="F100" s="76"/>
      <c r="G100" s="53" t="e" cm="1">
        <f t="array" ref="G100">_xlfn.IFS(Services110697479848994991041091141191261311361411461511561615499242934[[#This Row],[Unit]]="Program-wide",((_xlfn.IFS(Services110697479848994991041091141191261311361411461511561615499242934[[#This Row],[Frequency]]="Per Year",Services110697479848994991041091141191261311361411461511561615499242934[[#This Row],[Cost]]/12,Services110697479848994991041091141191261311361411461511561615499242934[[#This Row],[Frequency]]="Per month",Services110697479848994991041091141191261311361411461511561615499242934[[#This Row],[Cost]],Services110697479848994991041091141191261311361411461511561615499242934[[#This Row],[Frequency]]="Per day",Services110697479848994991041091141191261311361411461511561615499242934[[#This Row],[Cost]]*30,Services110697479848994991041091141191261311361411461511561615499242934[[#This Row],[Frequency]]="One-time",Services110697479848994991041091141191261311361411461511561615499242934[[#This Row],[Cost]]/SUM($C$18,$C$19)))/$C$17),Services110697479848994991041091141191261311361411461511561615499242934[[#This Row],[Unit]]="Per unit/space/household",(_xlfn.IFS(Services110697479848994991041091141191261311361411461511561615499242934[[#This Row],[Frequency]]="Per Year",Services110697479848994991041091141191261311361411461511561615499242934[[#This Row],[Cost]]/12,Services110697479848994991041091141191261311361411461511561615499242934[[#This Row],[Frequency]]="Per month",Services110697479848994991041091141191261311361411461511561615499242934[[#This Row],[Cost]],Services110697479848994991041091141191261311361411461511561615499242934[[#This Row],[Frequency]]="Per day",Services110697479848994991041091141191261311361411461511561615499242934[[#This Row],[Cost]]*30,Services110697479848994991041091141191261311361411461511561615499242934[[#This Row],[Frequency]]="One-time",Services110697479848994991041091141191261311361411461511561615499242934[[#This Row],[Cost]]/SUM($C$18,$C$19))))</f>
        <v>#N/A</v>
      </c>
      <c r="H100" s="46" t="e">
        <f>Services110697479848994991041091141191261311361411461511561615499242934[[#This Row],[Monthly Cost Per Unit]]*12</f>
        <v>#N/A</v>
      </c>
    </row>
    <row r="101" spans="1:8" x14ac:dyDescent="0.25">
      <c r="A101" s="75"/>
      <c r="B101" s="75"/>
      <c r="C101" s="77"/>
      <c r="D101" s="78"/>
      <c r="E101" s="79"/>
      <c r="F101" s="76"/>
      <c r="G101" s="53" t="e" cm="1">
        <f t="array" ref="G101">_xlfn.IFS(Services110697479848994991041091141191261311361411461511561615499242934[[#This Row],[Unit]]="Program-wide",((_xlfn.IFS(Services110697479848994991041091141191261311361411461511561615499242934[[#This Row],[Frequency]]="Per Year",Services110697479848994991041091141191261311361411461511561615499242934[[#This Row],[Cost]]/12,Services110697479848994991041091141191261311361411461511561615499242934[[#This Row],[Frequency]]="Per month",Services110697479848994991041091141191261311361411461511561615499242934[[#This Row],[Cost]],Services110697479848994991041091141191261311361411461511561615499242934[[#This Row],[Frequency]]="Per day",Services110697479848994991041091141191261311361411461511561615499242934[[#This Row],[Cost]]*30,Services110697479848994991041091141191261311361411461511561615499242934[[#This Row],[Frequency]]="One-time",Services110697479848994991041091141191261311361411461511561615499242934[[#This Row],[Cost]]/SUM($C$18,$C$19)))/$C$17),Services110697479848994991041091141191261311361411461511561615499242934[[#This Row],[Unit]]="Per unit/space/household",(_xlfn.IFS(Services110697479848994991041091141191261311361411461511561615499242934[[#This Row],[Frequency]]="Per Year",Services110697479848994991041091141191261311361411461511561615499242934[[#This Row],[Cost]]/12,Services110697479848994991041091141191261311361411461511561615499242934[[#This Row],[Frequency]]="Per month",Services110697479848994991041091141191261311361411461511561615499242934[[#This Row],[Cost]],Services110697479848994991041091141191261311361411461511561615499242934[[#This Row],[Frequency]]="Per day",Services110697479848994991041091141191261311361411461511561615499242934[[#This Row],[Cost]]*30,Services110697479848994991041091141191261311361411461511561615499242934[[#This Row],[Frequency]]="One-time",Services110697479848994991041091141191261311361411461511561615499242934[[#This Row],[Cost]]/SUM($C$18,$C$19))))</f>
        <v>#N/A</v>
      </c>
      <c r="H101" s="46" t="e">
        <f>Services110697479848994991041091141191261311361411461511561615499242934[[#This Row],[Monthly Cost Per Unit]]*12</f>
        <v>#N/A</v>
      </c>
    </row>
    <row r="102" spans="1:8" x14ac:dyDescent="0.25">
      <c r="A102" s="75"/>
      <c r="B102" s="75"/>
      <c r="C102" s="77"/>
      <c r="D102" s="78"/>
      <c r="E102" s="79"/>
      <c r="F102" s="76"/>
      <c r="G102" s="53" t="e" cm="1">
        <f t="array" ref="G102">_xlfn.IFS(Services110697479848994991041091141191261311361411461511561615499242934[[#This Row],[Unit]]="Program-wide",((_xlfn.IFS(Services110697479848994991041091141191261311361411461511561615499242934[[#This Row],[Frequency]]="Per Year",Services110697479848994991041091141191261311361411461511561615499242934[[#This Row],[Cost]]/12,Services110697479848994991041091141191261311361411461511561615499242934[[#This Row],[Frequency]]="Per month",Services110697479848994991041091141191261311361411461511561615499242934[[#This Row],[Cost]],Services110697479848994991041091141191261311361411461511561615499242934[[#This Row],[Frequency]]="Per day",Services110697479848994991041091141191261311361411461511561615499242934[[#This Row],[Cost]]*30,Services110697479848994991041091141191261311361411461511561615499242934[[#This Row],[Frequency]]="One-time",Services110697479848994991041091141191261311361411461511561615499242934[[#This Row],[Cost]]/SUM($C$18,$C$19)))/$C$17),Services110697479848994991041091141191261311361411461511561615499242934[[#This Row],[Unit]]="Per unit/space/household",(_xlfn.IFS(Services110697479848994991041091141191261311361411461511561615499242934[[#This Row],[Frequency]]="Per Year",Services110697479848994991041091141191261311361411461511561615499242934[[#This Row],[Cost]]/12,Services110697479848994991041091141191261311361411461511561615499242934[[#This Row],[Frequency]]="Per month",Services110697479848994991041091141191261311361411461511561615499242934[[#This Row],[Cost]],Services110697479848994991041091141191261311361411461511561615499242934[[#This Row],[Frequency]]="Per day",Services110697479848994991041091141191261311361411461511561615499242934[[#This Row],[Cost]]*30,Services110697479848994991041091141191261311361411461511561615499242934[[#This Row],[Frequency]]="One-time",Services110697479848994991041091141191261311361411461511561615499242934[[#This Row],[Cost]]/SUM($C$18,$C$19))))</f>
        <v>#N/A</v>
      </c>
      <c r="H102" s="46" t="e">
        <f>Services110697479848994991041091141191261311361411461511561615499242934[[#This Row],[Monthly Cost Per Unit]]*12</f>
        <v>#N/A</v>
      </c>
    </row>
    <row r="103" spans="1:8" x14ac:dyDescent="0.25">
      <c r="A103" s="75"/>
      <c r="B103" s="75"/>
      <c r="C103" s="77"/>
      <c r="D103" s="78"/>
      <c r="E103" s="79"/>
      <c r="F103" s="76"/>
      <c r="G103" s="53" t="e" cm="1">
        <f t="array" ref="G103">_xlfn.IFS(Services110697479848994991041091141191261311361411461511561615499242934[[#This Row],[Unit]]="Program-wide",((_xlfn.IFS(Services110697479848994991041091141191261311361411461511561615499242934[[#This Row],[Frequency]]="Per Year",Services110697479848994991041091141191261311361411461511561615499242934[[#This Row],[Cost]]/12,Services110697479848994991041091141191261311361411461511561615499242934[[#This Row],[Frequency]]="Per month",Services110697479848994991041091141191261311361411461511561615499242934[[#This Row],[Cost]],Services110697479848994991041091141191261311361411461511561615499242934[[#This Row],[Frequency]]="Per day",Services110697479848994991041091141191261311361411461511561615499242934[[#This Row],[Cost]]*30,Services110697479848994991041091141191261311361411461511561615499242934[[#This Row],[Frequency]]="One-time",Services110697479848994991041091141191261311361411461511561615499242934[[#This Row],[Cost]]/SUM($C$18,$C$19)))/$C$17),Services110697479848994991041091141191261311361411461511561615499242934[[#This Row],[Unit]]="Per unit/space/household",(_xlfn.IFS(Services110697479848994991041091141191261311361411461511561615499242934[[#This Row],[Frequency]]="Per Year",Services110697479848994991041091141191261311361411461511561615499242934[[#This Row],[Cost]]/12,Services110697479848994991041091141191261311361411461511561615499242934[[#This Row],[Frequency]]="Per month",Services110697479848994991041091141191261311361411461511561615499242934[[#This Row],[Cost]],Services110697479848994991041091141191261311361411461511561615499242934[[#This Row],[Frequency]]="Per day",Services110697479848994991041091141191261311361411461511561615499242934[[#This Row],[Cost]]*30,Services110697479848994991041091141191261311361411461511561615499242934[[#This Row],[Frequency]]="One-time",Services110697479848994991041091141191261311361411461511561615499242934[[#This Row],[Cost]]/SUM($C$18,$C$19))))</f>
        <v>#N/A</v>
      </c>
      <c r="H103" s="46" t="e">
        <f>Services110697479848994991041091141191261311361411461511561615499242934[[#This Row],[Monthly Cost Per Unit]]*12</f>
        <v>#N/A</v>
      </c>
    </row>
    <row r="104" spans="1:8" x14ac:dyDescent="0.25">
      <c r="A104" s="75"/>
      <c r="B104" s="75"/>
      <c r="C104" s="77"/>
      <c r="D104" s="78"/>
      <c r="E104" s="79"/>
      <c r="F104" s="76"/>
      <c r="G104" s="53" t="e" cm="1">
        <f t="array" ref="G104">_xlfn.IFS(Services110697479848994991041091141191261311361411461511561615499242934[[#This Row],[Unit]]="Program-wide",((_xlfn.IFS(Services110697479848994991041091141191261311361411461511561615499242934[[#This Row],[Frequency]]="Per Year",Services110697479848994991041091141191261311361411461511561615499242934[[#This Row],[Cost]]/12,Services110697479848994991041091141191261311361411461511561615499242934[[#This Row],[Frequency]]="Per month",Services110697479848994991041091141191261311361411461511561615499242934[[#This Row],[Cost]],Services110697479848994991041091141191261311361411461511561615499242934[[#This Row],[Frequency]]="Per day",Services110697479848994991041091141191261311361411461511561615499242934[[#This Row],[Cost]]*30,Services110697479848994991041091141191261311361411461511561615499242934[[#This Row],[Frequency]]="One-time",Services110697479848994991041091141191261311361411461511561615499242934[[#This Row],[Cost]]/SUM($C$18,$C$19)))/$C$17),Services110697479848994991041091141191261311361411461511561615499242934[[#This Row],[Unit]]="Per unit/space/household",(_xlfn.IFS(Services110697479848994991041091141191261311361411461511561615499242934[[#This Row],[Frequency]]="Per Year",Services110697479848994991041091141191261311361411461511561615499242934[[#This Row],[Cost]]/12,Services110697479848994991041091141191261311361411461511561615499242934[[#This Row],[Frequency]]="Per month",Services110697479848994991041091141191261311361411461511561615499242934[[#This Row],[Cost]],Services110697479848994991041091141191261311361411461511561615499242934[[#This Row],[Frequency]]="Per day",Services110697479848994991041091141191261311361411461511561615499242934[[#This Row],[Cost]]*30,Services110697479848994991041091141191261311361411461511561615499242934[[#This Row],[Frequency]]="One-time",Services110697479848994991041091141191261311361411461511561615499242934[[#This Row],[Cost]]/SUM($C$18,$C$19))))</f>
        <v>#N/A</v>
      </c>
      <c r="H104" s="46" t="e">
        <f>Services110697479848994991041091141191261311361411461511561615499242934[[#This Row],[Monthly Cost Per Unit]]*12</f>
        <v>#N/A</v>
      </c>
    </row>
    <row r="105" spans="1:8" x14ac:dyDescent="0.25">
      <c r="A105" s="75"/>
      <c r="B105" s="75"/>
      <c r="C105" s="77"/>
      <c r="D105" s="78"/>
      <c r="E105" s="79"/>
      <c r="F105" s="76"/>
      <c r="G105" s="53" t="e" cm="1">
        <f t="array" ref="G105">_xlfn.IFS(Services110697479848994991041091141191261311361411461511561615499242934[[#This Row],[Unit]]="Program-wide",((_xlfn.IFS(Services110697479848994991041091141191261311361411461511561615499242934[[#This Row],[Frequency]]="Per Year",Services110697479848994991041091141191261311361411461511561615499242934[[#This Row],[Cost]]/12,Services110697479848994991041091141191261311361411461511561615499242934[[#This Row],[Frequency]]="Per month",Services110697479848994991041091141191261311361411461511561615499242934[[#This Row],[Cost]],Services110697479848994991041091141191261311361411461511561615499242934[[#This Row],[Frequency]]="Per day",Services110697479848994991041091141191261311361411461511561615499242934[[#This Row],[Cost]]*30,Services110697479848994991041091141191261311361411461511561615499242934[[#This Row],[Frequency]]="One-time",Services110697479848994991041091141191261311361411461511561615499242934[[#This Row],[Cost]]/SUM($C$18,$C$19)))/$C$17),Services110697479848994991041091141191261311361411461511561615499242934[[#This Row],[Unit]]="Per unit/space/household",(_xlfn.IFS(Services110697479848994991041091141191261311361411461511561615499242934[[#This Row],[Frequency]]="Per Year",Services110697479848994991041091141191261311361411461511561615499242934[[#This Row],[Cost]]/12,Services110697479848994991041091141191261311361411461511561615499242934[[#This Row],[Frequency]]="Per month",Services110697479848994991041091141191261311361411461511561615499242934[[#This Row],[Cost]],Services110697479848994991041091141191261311361411461511561615499242934[[#This Row],[Frequency]]="Per day",Services110697479848994991041091141191261311361411461511561615499242934[[#This Row],[Cost]]*30,Services110697479848994991041091141191261311361411461511561615499242934[[#This Row],[Frequency]]="One-time",Services110697479848994991041091141191261311361411461511561615499242934[[#This Row],[Cost]]/SUM($C$18,$C$19))))</f>
        <v>#N/A</v>
      </c>
      <c r="H105" s="46" t="e">
        <f>Services110697479848994991041091141191261311361411461511561615499242934[[#This Row],[Monthly Cost Per Unit]]*12</f>
        <v>#N/A</v>
      </c>
    </row>
    <row r="106" spans="1:8" x14ac:dyDescent="0.25">
      <c r="A106" s="75"/>
      <c r="B106" s="75"/>
      <c r="C106" s="77"/>
      <c r="D106" s="78"/>
      <c r="E106" s="79"/>
      <c r="F106" s="76"/>
      <c r="G106" s="53" t="e" cm="1">
        <f t="array" ref="G106">_xlfn.IFS(Services110697479848994991041091141191261311361411461511561615499242934[[#This Row],[Unit]]="Program-wide",((_xlfn.IFS(Services110697479848994991041091141191261311361411461511561615499242934[[#This Row],[Frequency]]="Per Year",Services110697479848994991041091141191261311361411461511561615499242934[[#This Row],[Cost]]/12,Services110697479848994991041091141191261311361411461511561615499242934[[#This Row],[Frequency]]="Per month",Services110697479848994991041091141191261311361411461511561615499242934[[#This Row],[Cost]],Services110697479848994991041091141191261311361411461511561615499242934[[#This Row],[Frequency]]="Per day",Services110697479848994991041091141191261311361411461511561615499242934[[#This Row],[Cost]]*30,Services110697479848994991041091141191261311361411461511561615499242934[[#This Row],[Frequency]]="One-time",Services110697479848994991041091141191261311361411461511561615499242934[[#This Row],[Cost]]/SUM($C$18,$C$19)))/$C$17),Services110697479848994991041091141191261311361411461511561615499242934[[#This Row],[Unit]]="Per unit/space/household",(_xlfn.IFS(Services110697479848994991041091141191261311361411461511561615499242934[[#This Row],[Frequency]]="Per Year",Services110697479848994991041091141191261311361411461511561615499242934[[#This Row],[Cost]]/12,Services110697479848994991041091141191261311361411461511561615499242934[[#This Row],[Frequency]]="Per month",Services110697479848994991041091141191261311361411461511561615499242934[[#This Row],[Cost]],Services110697479848994991041091141191261311361411461511561615499242934[[#This Row],[Frequency]]="Per day",Services110697479848994991041091141191261311361411461511561615499242934[[#This Row],[Cost]]*30,Services110697479848994991041091141191261311361411461511561615499242934[[#This Row],[Frequency]]="One-time",Services110697479848994991041091141191261311361411461511561615499242934[[#This Row],[Cost]]/SUM($C$18,$C$19))))</f>
        <v>#N/A</v>
      </c>
      <c r="H106" s="46" t="e">
        <f>Services110697479848994991041091141191261311361411461511561615499242934[[#This Row],[Monthly Cost Per Unit]]*12</f>
        <v>#N/A</v>
      </c>
    </row>
    <row r="107" spans="1:8" x14ac:dyDescent="0.25">
      <c r="A107" s="80"/>
      <c r="B107" s="80"/>
      <c r="C107" s="82"/>
      <c r="D107" s="83"/>
      <c r="E107" s="84"/>
      <c r="F107" s="81"/>
      <c r="G107" s="55" t="e" cm="1">
        <f t="array" ref="G107">_xlfn.IFS(Services110697479848994991041091141191261311361411461511561615499242934[[#This Row],[Unit]]="Program-wide",((_xlfn.IFS(Services110697479848994991041091141191261311361411461511561615499242934[[#This Row],[Frequency]]="Per Year",Services110697479848994991041091141191261311361411461511561615499242934[[#This Row],[Cost]]/12,Services110697479848994991041091141191261311361411461511561615499242934[[#This Row],[Frequency]]="Per month",Services110697479848994991041091141191261311361411461511561615499242934[[#This Row],[Cost]],Services110697479848994991041091141191261311361411461511561615499242934[[#This Row],[Frequency]]="Per day",Services110697479848994991041091141191261311361411461511561615499242934[[#This Row],[Cost]]*30,Services110697479848994991041091141191261311361411461511561615499242934[[#This Row],[Frequency]]="One-time",Services110697479848994991041091141191261311361411461511561615499242934[[#This Row],[Cost]]/SUM($C$18,$C$19)))/$C$17),Services110697479848994991041091141191261311361411461511561615499242934[[#This Row],[Unit]]="Per unit/space/household",(_xlfn.IFS(Services110697479848994991041091141191261311361411461511561615499242934[[#This Row],[Frequency]]="Per Year",Services110697479848994991041091141191261311361411461511561615499242934[[#This Row],[Cost]]/12,Services110697479848994991041091141191261311361411461511561615499242934[[#This Row],[Frequency]]="Per month",Services110697479848994991041091141191261311361411461511561615499242934[[#This Row],[Cost]],Services110697479848994991041091141191261311361411461511561615499242934[[#This Row],[Frequency]]="Per day",Services110697479848994991041091141191261311361411461511561615499242934[[#This Row],[Cost]]*30,Services110697479848994991041091141191261311361411461511561615499242934[[#This Row],[Frequency]]="One-time",Services110697479848994991041091141191261311361411461511561615499242934[[#This Row],[Cost]]/SUM($C$18,$C$19))))</f>
        <v>#N/A</v>
      </c>
      <c r="H107" s="46" t="e">
        <f>Services110697479848994991041091141191261311361411461511561615499242934[[#This Row],[Monthly Cost Per Unit]]*12</f>
        <v>#N/A</v>
      </c>
    </row>
    <row r="108" spans="1:8" x14ac:dyDescent="0.25">
      <c r="A108" s="107" t="s">
        <v>20</v>
      </c>
      <c r="B108" s="107"/>
      <c r="C108" s="108" t="s">
        <v>68</v>
      </c>
      <c r="D108" s="109"/>
      <c r="E108" s="108"/>
      <c r="F108" s="108"/>
      <c r="G108" s="118"/>
      <c r="H108" s="111">
        <f>(SUMIF(Services110697479848994991041091141191261311361411461511561615499242934[Duration],"While homeless only",Services110697479848994991041091141191261311361411461511561615499242934[Monthly Cost Per Unit]))*12</f>
        <v>0</v>
      </c>
    </row>
    <row r="109" spans="1:8" x14ac:dyDescent="0.25">
      <c r="A109" s="112"/>
      <c r="B109" s="112"/>
      <c r="C109" s="108" t="s">
        <v>63</v>
      </c>
      <c r="D109" s="109"/>
      <c r="E109" s="108"/>
      <c r="F109" s="108"/>
      <c r="G109" s="111"/>
      <c r="H109" s="111">
        <f>(SUMIF(Services110697479848994991041091141191261311361411461511561615499242934[Duration],"While housed only",Services110697479848994991041091141191261311361411461511561615499242934[Monthly Cost Per Unit]))*12</f>
        <v>0</v>
      </c>
    </row>
    <row r="110" spans="1:8" x14ac:dyDescent="0.25">
      <c r="A110" s="112"/>
      <c r="B110" s="112"/>
      <c r="C110" s="108" t="s">
        <v>58</v>
      </c>
      <c r="D110" s="109"/>
      <c r="E110" s="108"/>
      <c r="F110" s="108"/>
      <c r="G110" s="111"/>
      <c r="H110" s="111">
        <f>(SUMIF(Services110697479848994991041091141191261311361411461511561615499242934[Duration],"Homeless &amp; housed",Services110697479848994991041091141191261311361411461511561615499242934[Monthly Cost Per Unit]))*12</f>
        <v>0</v>
      </c>
    </row>
    <row r="111" spans="1:8" ht="15.75" thickBot="1" x14ac:dyDescent="0.3">
      <c r="A111" s="113"/>
      <c r="B111" s="113"/>
      <c r="C111" s="114" t="s">
        <v>207</v>
      </c>
      <c r="D111" s="115"/>
      <c r="E111" s="114"/>
      <c r="F111" s="114"/>
      <c r="G111" s="117"/>
      <c r="H111" s="117">
        <f>(SUMIF(Services110697479848994991041091141191261311361411461511561615499242934[Duration],"N/A",Services110697479848994991041091141191261311361411461511561615499242934[Monthly Cost Per Unit]))*12</f>
        <v>0</v>
      </c>
    </row>
    <row r="112" spans="1:8" ht="16.5" thickTop="1" thickBot="1" x14ac:dyDescent="0.3">
      <c r="A112" s="113"/>
      <c r="B112" s="113"/>
      <c r="C112" s="114" t="s">
        <v>42</v>
      </c>
      <c r="D112" s="115"/>
      <c r="E112" s="114"/>
      <c r="F112" s="114"/>
      <c r="G112" s="117"/>
      <c r="H112" s="117">
        <f>SUM(H108:H111)</f>
        <v>0</v>
      </c>
    </row>
    <row r="113" spans="1:9" ht="15.75" thickTop="1" x14ac:dyDescent="0.25">
      <c r="A113"/>
      <c r="F113"/>
      <c r="G113"/>
      <c r="H113" s="128"/>
    </row>
    <row r="114" spans="1:9" x14ac:dyDescent="0.25">
      <c r="A114" s="274" t="s">
        <v>90</v>
      </c>
      <c r="B114" s="274"/>
      <c r="C114" s="274"/>
      <c r="D114" s="274"/>
      <c r="E114" s="274"/>
      <c r="F114" s="274"/>
      <c r="G114" s="274"/>
      <c r="H114" s="274"/>
    </row>
    <row r="115" spans="1:9" ht="33" customHeight="1" outlineLevel="1" x14ac:dyDescent="0.25">
      <c r="A115" s="294" t="s">
        <v>91</v>
      </c>
      <c r="B115" s="294"/>
      <c r="C115" s="294"/>
      <c r="D115" s="294"/>
      <c r="E115" s="294"/>
      <c r="F115" s="294"/>
      <c r="G115" s="294"/>
      <c r="H115" s="294"/>
    </row>
    <row r="116" spans="1:9" s="3" customFormat="1" ht="28.35" customHeight="1" x14ac:dyDescent="0.25">
      <c r="A116" s="131" t="s">
        <v>51</v>
      </c>
      <c r="B116" s="131" t="s">
        <v>52</v>
      </c>
      <c r="C116" s="131" t="s">
        <v>53</v>
      </c>
      <c r="D116" s="131" t="s">
        <v>54</v>
      </c>
      <c r="E116" s="131" t="s">
        <v>55</v>
      </c>
      <c r="F116" s="131" t="s">
        <v>56</v>
      </c>
      <c r="G116" s="131" t="s">
        <v>57</v>
      </c>
      <c r="H116" s="132" t="s">
        <v>20</v>
      </c>
    </row>
    <row r="117" spans="1:9" x14ac:dyDescent="0.25">
      <c r="A117" s="75"/>
      <c r="B117" s="75"/>
      <c r="C117" s="77"/>
      <c r="D117" s="78"/>
      <c r="E117" s="79"/>
      <c r="F117" s="79"/>
      <c r="G117" s="53" t="e" cm="1">
        <f t="array" ref="G117">_xlfn.IFS(Other11170758085909510010511011512012713213714214715215716255100253035[[#This Row],[Unit]]="Program-wide",((_xlfn.IFS(Other11170758085909510010511011512012713213714214715215716255100253035[[#This Row],[Frequency]]="Per Year",Other11170758085909510010511011512012713213714214715215716255100253035[[#This Row],[Cost]]/12,Other11170758085909510010511011512012713213714214715215716255100253035[[#This Row],[Frequency]]="Per month",Other11170758085909510010511011512012713213714214715215716255100253035[[#This Row],[Cost]],Other11170758085909510010511011512012713213714214715215716255100253035[[#This Row],[Frequency]]="Per day",Other11170758085909510010511011512012713213714214715215716255100253035[[#This Row],[Cost]]*30,Other11170758085909510010511011512012713213714214715215716255100253035[[#This Row],[Frequency]]="One-time",Other11170758085909510010511011512012713213714214715215716255100253035[[#This Row],[Cost]]/SUM($C$18,$C$19)))/$C$17),Other11170758085909510010511011512012713213714214715215716255100253035[[#This Row],[Unit]]="Per unit/space/household",(_xlfn.IFS(Other11170758085909510010511011512012713213714214715215716255100253035[[#This Row],[Frequency]]="Per Year",Other11170758085909510010511011512012713213714214715215716255100253035[[#This Row],[Cost]]/12,Other11170758085909510010511011512012713213714214715215716255100253035[[#This Row],[Frequency]]="Per month",Other11170758085909510010511011512012713213714214715215716255100253035[[#This Row],[Cost]],Other11170758085909510010511011512012713213714214715215716255100253035[[#This Row],[Frequency]]="Per day",Other11170758085909510010511011512012713213714214715215716255100253035[[#This Row],[Cost]]*30,Other11170758085909510010511011512012713213714214715215716255100253035[[#This Row],[Frequency]]="One-time",Other11170758085909510010511011512012713213714214715215716255100253035[[#This Row],[Cost]]/SUM($C$18,$C$19))))</f>
        <v>#N/A</v>
      </c>
      <c r="H117" s="46" t="e">
        <f>Other11170758085909510010511011512012713213714214715215716255100253035[[#This Row],[Monthly Cost Per Unit]]*12</f>
        <v>#N/A</v>
      </c>
    </row>
    <row r="118" spans="1:9" x14ac:dyDescent="0.25">
      <c r="A118" s="75"/>
      <c r="B118" s="75"/>
      <c r="C118" s="77"/>
      <c r="D118" s="78"/>
      <c r="E118" s="79"/>
      <c r="F118" s="79"/>
      <c r="G118" s="53" t="e" cm="1">
        <f t="array" ref="G118">_xlfn.IFS(Other11170758085909510010511011512012713213714214715215716255100253035[[#This Row],[Unit]]="Program-wide",((_xlfn.IFS(Other11170758085909510010511011512012713213714214715215716255100253035[[#This Row],[Frequency]]="Per Year",Other11170758085909510010511011512012713213714214715215716255100253035[[#This Row],[Cost]]/12,Other11170758085909510010511011512012713213714214715215716255100253035[[#This Row],[Frequency]]="Per month",Other11170758085909510010511011512012713213714214715215716255100253035[[#This Row],[Cost]],Other11170758085909510010511011512012713213714214715215716255100253035[[#This Row],[Frequency]]="Per day",Other11170758085909510010511011512012713213714214715215716255100253035[[#This Row],[Cost]]*30,Other11170758085909510010511011512012713213714214715215716255100253035[[#This Row],[Frequency]]="One-time",Other11170758085909510010511011512012713213714214715215716255100253035[[#This Row],[Cost]]/SUM($C$18,$C$19)))/$C$17),Other11170758085909510010511011512012713213714214715215716255100253035[[#This Row],[Unit]]="Per unit/space/household",(_xlfn.IFS(Other11170758085909510010511011512012713213714214715215716255100253035[[#This Row],[Frequency]]="Per Year",Other11170758085909510010511011512012713213714214715215716255100253035[[#This Row],[Cost]]/12,Other11170758085909510010511011512012713213714214715215716255100253035[[#This Row],[Frequency]]="Per month",Other11170758085909510010511011512012713213714214715215716255100253035[[#This Row],[Cost]],Other11170758085909510010511011512012713213714214715215716255100253035[[#This Row],[Frequency]]="Per day",Other11170758085909510010511011512012713213714214715215716255100253035[[#This Row],[Cost]]*30,Other11170758085909510010511011512012713213714214715215716255100253035[[#This Row],[Frequency]]="One-time",Other11170758085909510010511011512012713213714214715215716255100253035[[#This Row],[Cost]]/SUM($C$18,$C$19))))</f>
        <v>#N/A</v>
      </c>
      <c r="H118" s="46" t="e">
        <f>Other11170758085909510010511011512012713213714214715215716255100253035[[#This Row],[Monthly Cost Per Unit]]*12</f>
        <v>#N/A</v>
      </c>
    </row>
    <row r="119" spans="1:9" x14ac:dyDescent="0.25">
      <c r="A119" s="75"/>
      <c r="B119" s="75"/>
      <c r="C119" s="77"/>
      <c r="D119" s="78"/>
      <c r="E119" s="79"/>
      <c r="F119" s="79"/>
      <c r="G119" s="53" t="e" cm="1">
        <f t="array" ref="G119">_xlfn.IFS(Other11170758085909510010511011512012713213714214715215716255100253035[[#This Row],[Unit]]="Program-wide",((_xlfn.IFS(Other11170758085909510010511011512012713213714214715215716255100253035[[#This Row],[Frequency]]="Per Year",Other11170758085909510010511011512012713213714214715215716255100253035[[#This Row],[Cost]]/12,Other11170758085909510010511011512012713213714214715215716255100253035[[#This Row],[Frequency]]="Per month",Other11170758085909510010511011512012713213714214715215716255100253035[[#This Row],[Cost]],Other11170758085909510010511011512012713213714214715215716255100253035[[#This Row],[Frequency]]="Per day",Other11170758085909510010511011512012713213714214715215716255100253035[[#This Row],[Cost]]*30,Other11170758085909510010511011512012713213714214715215716255100253035[[#This Row],[Frequency]]="One-time",Other11170758085909510010511011512012713213714214715215716255100253035[[#This Row],[Cost]]/SUM($C$18,$C$19)))/$C$17),Other11170758085909510010511011512012713213714214715215716255100253035[[#This Row],[Unit]]="Per unit/space/household",(_xlfn.IFS(Other11170758085909510010511011512012713213714214715215716255100253035[[#This Row],[Frequency]]="Per Year",Other11170758085909510010511011512012713213714214715215716255100253035[[#This Row],[Cost]]/12,Other11170758085909510010511011512012713213714214715215716255100253035[[#This Row],[Frequency]]="Per month",Other11170758085909510010511011512012713213714214715215716255100253035[[#This Row],[Cost]],Other11170758085909510010511011512012713213714214715215716255100253035[[#This Row],[Frequency]]="Per day",Other11170758085909510010511011512012713213714214715215716255100253035[[#This Row],[Cost]]*30,Other11170758085909510010511011512012713213714214715215716255100253035[[#This Row],[Frequency]]="One-time",Other11170758085909510010511011512012713213714214715215716255100253035[[#This Row],[Cost]]/SUM($C$18,$C$19))))</f>
        <v>#N/A</v>
      </c>
      <c r="H119" s="46" t="e">
        <f>Other11170758085909510010511011512012713213714214715215716255100253035[[#This Row],[Monthly Cost Per Unit]]*12</f>
        <v>#N/A</v>
      </c>
    </row>
    <row r="120" spans="1:9" x14ac:dyDescent="0.25">
      <c r="A120" s="75"/>
      <c r="B120" s="75"/>
      <c r="C120" s="77"/>
      <c r="D120" s="78"/>
      <c r="E120" s="79"/>
      <c r="F120" s="79"/>
      <c r="G120" s="53" t="e" cm="1">
        <f t="array" ref="G120">_xlfn.IFS(Other11170758085909510010511011512012713213714214715215716255100253035[[#This Row],[Unit]]="Program-wide",((_xlfn.IFS(Other11170758085909510010511011512012713213714214715215716255100253035[[#This Row],[Frequency]]="Per Year",Other11170758085909510010511011512012713213714214715215716255100253035[[#This Row],[Cost]]/12,Other11170758085909510010511011512012713213714214715215716255100253035[[#This Row],[Frequency]]="Per month",Other11170758085909510010511011512012713213714214715215716255100253035[[#This Row],[Cost]],Other11170758085909510010511011512012713213714214715215716255100253035[[#This Row],[Frequency]]="Per day",Other11170758085909510010511011512012713213714214715215716255100253035[[#This Row],[Cost]]*30,Other11170758085909510010511011512012713213714214715215716255100253035[[#This Row],[Frequency]]="One-time",Other11170758085909510010511011512012713213714214715215716255100253035[[#This Row],[Cost]]/SUM($C$18,$C$19)))/$C$17),Other11170758085909510010511011512012713213714214715215716255100253035[[#This Row],[Unit]]="Per unit/space/household",(_xlfn.IFS(Other11170758085909510010511011512012713213714214715215716255100253035[[#This Row],[Frequency]]="Per Year",Other11170758085909510010511011512012713213714214715215716255100253035[[#This Row],[Cost]]/12,Other11170758085909510010511011512012713213714214715215716255100253035[[#This Row],[Frequency]]="Per month",Other11170758085909510010511011512012713213714214715215716255100253035[[#This Row],[Cost]],Other11170758085909510010511011512012713213714214715215716255100253035[[#This Row],[Frequency]]="Per day",Other11170758085909510010511011512012713213714214715215716255100253035[[#This Row],[Cost]]*30,Other11170758085909510010511011512012713213714214715215716255100253035[[#This Row],[Frequency]]="One-time",Other11170758085909510010511011512012713213714214715215716255100253035[[#This Row],[Cost]]/SUM($C$18,$C$19))))</f>
        <v>#N/A</v>
      </c>
      <c r="H120" s="46" t="e">
        <f>Other11170758085909510010511011512012713213714214715215716255100253035[[#This Row],[Monthly Cost Per Unit]]*12</f>
        <v>#N/A</v>
      </c>
    </row>
    <row r="121" spans="1:9" s="1" customFormat="1" x14ac:dyDescent="0.25">
      <c r="A121" s="80"/>
      <c r="B121" s="80"/>
      <c r="C121" s="82"/>
      <c r="D121" s="83"/>
      <c r="E121" s="84"/>
      <c r="F121" s="84"/>
      <c r="G121" s="55" t="e" cm="1">
        <f t="array" ref="G121">_xlfn.IFS(Other11170758085909510010511011512012713213714214715215716255100253035[[#This Row],[Unit]]="Program-wide",((_xlfn.IFS(Other11170758085909510010511011512012713213714214715215716255100253035[[#This Row],[Frequency]]="Per Year",Other11170758085909510010511011512012713213714214715215716255100253035[[#This Row],[Cost]]/12,Other11170758085909510010511011512012713213714214715215716255100253035[[#This Row],[Frequency]]="Per month",Other11170758085909510010511011512012713213714214715215716255100253035[[#This Row],[Cost]],Other11170758085909510010511011512012713213714214715215716255100253035[[#This Row],[Frequency]]="Per day",Other11170758085909510010511011512012713213714214715215716255100253035[[#This Row],[Cost]]*30,Other11170758085909510010511011512012713213714214715215716255100253035[[#This Row],[Frequency]]="One-time",Other11170758085909510010511011512012713213714214715215716255100253035[[#This Row],[Cost]]/SUM($C$18,$C$19)))/$C$17),Other11170758085909510010511011512012713213714214715215716255100253035[[#This Row],[Unit]]="Per unit/space/household",(_xlfn.IFS(Other11170758085909510010511011512012713213714214715215716255100253035[[#This Row],[Frequency]]="Per Year",Other11170758085909510010511011512012713213714214715215716255100253035[[#This Row],[Cost]]/12,Other11170758085909510010511011512012713213714214715215716255100253035[[#This Row],[Frequency]]="Per month",Other11170758085909510010511011512012713213714214715215716255100253035[[#This Row],[Cost]],Other11170758085909510010511011512012713213714214715215716255100253035[[#This Row],[Frequency]]="Per day",Other11170758085909510010511011512012713213714214715215716255100253035[[#This Row],[Cost]]*30,Other11170758085909510010511011512012713213714214715215716255100253035[[#This Row],[Frequency]]="One-time",Other11170758085909510010511011512012713213714214715215716255100253035[[#This Row],[Cost]]/SUM($C$18,$C$19))))</f>
        <v>#N/A</v>
      </c>
      <c r="H121" s="46" t="e">
        <f>Other11170758085909510010511011512012713213714214715215716255100253035[[#This Row],[Monthly Cost Per Unit]]*12</f>
        <v>#N/A</v>
      </c>
      <c r="I121"/>
    </row>
    <row r="122" spans="1:9" x14ac:dyDescent="0.25">
      <c r="A122" s="107" t="s">
        <v>20</v>
      </c>
      <c r="B122" s="107"/>
      <c r="C122" s="108" t="s">
        <v>68</v>
      </c>
      <c r="D122" s="109"/>
      <c r="E122" s="108"/>
      <c r="F122" s="108"/>
      <c r="G122" s="118"/>
      <c r="H122" s="111">
        <f>(SUMIF(Other11170758085909510010511011512012713213714214715215716255100253035[Duration],"While homeless only",Other11170758085909510010511011512012713213714214715215716255100253035[Monthly Cost Per Unit]))*12</f>
        <v>0</v>
      </c>
    </row>
    <row r="123" spans="1:9" x14ac:dyDescent="0.25">
      <c r="A123" s="112"/>
      <c r="B123" s="112"/>
      <c r="C123" s="108" t="s">
        <v>63</v>
      </c>
      <c r="D123" s="109"/>
      <c r="E123" s="108"/>
      <c r="F123" s="108"/>
      <c r="G123" s="111"/>
      <c r="H123" s="111">
        <f>(SUMIF(Other11170758085909510010511011512012713213714214715215716255100253035[Duration],"While housed only",Other11170758085909510010511011512012713213714214715215716255100253035[Monthly Cost Per Unit]))*12</f>
        <v>0</v>
      </c>
    </row>
    <row r="124" spans="1:9" x14ac:dyDescent="0.25">
      <c r="A124" s="112"/>
      <c r="B124" s="112"/>
      <c r="C124" s="108" t="s">
        <v>58</v>
      </c>
      <c r="D124" s="109"/>
      <c r="E124" s="108"/>
      <c r="F124" s="108"/>
      <c r="G124" s="111"/>
      <c r="H124" s="111">
        <f>(SUMIF(Other11170758085909510010511011512012713213714214715215716255100253035[Duration],"Homeless &amp; housed",Other11170758085909510010511011512012713213714214715215716255100253035[Monthly Cost Per Unit]))*12</f>
        <v>0</v>
      </c>
    </row>
    <row r="125" spans="1:9" ht="15.75" thickBot="1" x14ac:dyDescent="0.3">
      <c r="A125" s="113"/>
      <c r="B125" s="113"/>
      <c r="C125" s="114" t="s">
        <v>207</v>
      </c>
      <c r="D125" s="115"/>
      <c r="E125" s="114"/>
      <c r="F125" s="114"/>
      <c r="G125" s="117"/>
      <c r="H125" s="117">
        <f>(SUMIF(Other11170758085909510010511011512012713213714214715215716255100253035[Duration],"N/A",Other11170758085909510010511011512012713213714214715215716255100253035[Monthly Cost Per Unit]))*12</f>
        <v>0</v>
      </c>
    </row>
    <row r="126" spans="1:9" ht="16.5" thickTop="1" thickBot="1" x14ac:dyDescent="0.3">
      <c r="A126" s="113"/>
      <c r="B126" s="113"/>
      <c r="C126" s="114" t="s">
        <v>42</v>
      </c>
      <c r="D126" s="115"/>
      <c r="E126" s="114"/>
      <c r="F126" s="114"/>
      <c r="G126" s="117"/>
      <c r="H126" s="117">
        <f>SUM(H122:H125)</f>
        <v>0</v>
      </c>
    </row>
    <row r="127" spans="1:9" ht="15.75" thickTop="1" x14ac:dyDescent="0.25"/>
    <row r="128" spans="1:9" x14ac:dyDescent="0.25">
      <c r="A128" s="269" t="s">
        <v>92</v>
      </c>
      <c r="B128" s="269"/>
      <c r="C128" s="269"/>
      <c r="D128" s="269"/>
      <c r="E128" s="269"/>
      <c r="F128" s="269"/>
      <c r="G128" s="269"/>
      <c r="H128" s="269"/>
    </row>
    <row r="129" spans="1:8" x14ac:dyDescent="0.25">
      <c r="A129" s="304" t="s">
        <v>20</v>
      </c>
      <c r="B129" s="147"/>
      <c r="C129" s="108" t="s">
        <v>68</v>
      </c>
      <c r="D129" s="109"/>
      <c r="E129" s="108"/>
      <c r="F129" s="108"/>
      <c r="G129" s="118"/>
      <c r="H129" s="111">
        <f>SUM(H32,H53,H86, H108,H122)</f>
        <v>0</v>
      </c>
    </row>
    <row r="130" spans="1:8" x14ac:dyDescent="0.25">
      <c r="A130" s="305"/>
      <c r="B130" s="148"/>
      <c r="C130" s="108" t="s">
        <v>63</v>
      </c>
      <c r="D130" s="109"/>
      <c r="E130" s="108"/>
      <c r="F130" s="108"/>
      <c r="G130" s="111"/>
      <c r="H130" s="111">
        <f>SUM(H33,H54,H87, H109,H123)</f>
        <v>0</v>
      </c>
    </row>
    <row r="131" spans="1:8" x14ac:dyDescent="0.25">
      <c r="A131" s="305"/>
      <c r="B131" s="148"/>
      <c r="C131" s="108" t="s">
        <v>58</v>
      </c>
      <c r="D131" s="109"/>
      <c r="E131" s="108"/>
      <c r="F131" s="108"/>
      <c r="G131" s="111"/>
      <c r="H131" s="111">
        <f>SUM(H34,H55,H88, H110,H124)</f>
        <v>0</v>
      </c>
    </row>
    <row r="132" spans="1:8" ht="15.75" thickBot="1" x14ac:dyDescent="0.3">
      <c r="A132" s="305"/>
      <c r="B132" s="148"/>
      <c r="C132" s="114" t="s">
        <v>207</v>
      </c>
      <c r="D132" s="115"/>
      <c r="E132" s="114"/>
      <c r="F132" s="114"/>
      <c r="G132" s="117"/>
      <c r="H132" s="149">
        <f>SUM(H35,H56,H89, H111,H125)</f>
        <v>0</v>
      </c>
    </row>
    <row r="133" spans="1:8" ht="16.5" thickTop="1" thickBot="1" x14ac:dyDescent="0.3">
      <c r="A133" s="306"/>
      <c r="B133" s="150"/>
      <c r="C133" s="130" t="s">
        <v>42</v>
      </c>
      <c r="D133" s="130"/>
      <c r="E133" s="130"/>
      <c r="F133" s="130"/>
      <c r="G133" s="151"/>
      <c r="H133" s="117">
        <f>SUM(H36,H57,H90, H112,H126)</f>
        <v>0</v>
      </c>
    </row>
    <row r="134" spans="1:8" ht="15.75" thickTop="1" x14ac:dyDescent="0.25"/>
  </sheetData>
  <sheetProtection sheet="1" formatCells="0" formatColumns="0" formatRows="0" insertRows="0"/>
  <mergeCells count="41">
    <mergeCell ref="A128:H128"/>
    <mergeCell ref="A129:A133"/>
    <mergeCell ref="A25:H25"/>
    <mergeCell ref="A38:H38"/>
    <mergeCell ref="A39:H39"/>
    <mergeCell ref="A59:H59"/>
    <mergeCell ref="A60:H60"/>
    <mergeCell ref="A61:F61"/>
    <mergeCell ref="A62:F62"/>
    <mergeCell ref="A74:F74"/>
    <mergeCell ref="G74:H74"/>
    <mergeCell ref="A75:H75"/>
    <mergeCell ref="A92:H92"/>
    <mergeCell ref="A93:H93"/>
    <mergeCell ref="A114:H114"/>
    <mergeCell ref="A115:H115"/>
    <mergeCell ref="C19:D19"/>
    <mergeCell ref="A16:D16"/>
    <mergeCell ref="A15:D15"/>
    <mergeCell ref="A10:B10"/>
    <mergeCell ref="C10:D10"/>
    <mergeCell ref="A11:B11"/>
    <mergeCell ref="C11:D11"/>
    <mergeCell ref="A12:B12"/>
    <mergeCell ref="C12:D12"/>
    <mergeCell ref="A22:H22"/>
    <mergeCell ref="A24:H24"/>
    <mergeCell ref="A2:H2"/>
    <mergeCell ref="A7:D7"/>
    <mergeCell ref="A9:D9"/>
    <mergeCell ref="F9:G9"/>
    <mergeCell ref="A13:B13"/>
    <mergeCell ref="C13:D13"/>
    <mergeCell ref="A4:D4"/>
    <mergeCell ref="A5:B5"/>
    <mergeCell ref="C5:D5"/>
    <mergeCell ref="A17:B17"/>
    <mergeCell ref="C17:D17"/>
    <mergeCell ref="A18:B18"/>
    <mergeCell ref="C18:D18"/>
    <mergeCell ref="A19:B19"/>
  </mergeCells>
  <dataValidations count="12">
    <dataValidation type="custom" allowBlank="1" showInputMessage="1" showErrorMessage="1" prompt="This would be the amount of time a client is enrolled in the program before they have a housing move-in date in HMIS." sqref="C18:D18" xr:uid="{6D96A85E-0D51-45A0-ACDD-289D01D9293F}">
      <formula1>ISNUMBER(VALUE(C18))</formula1>
    </dataValidation>
    <dataValidation type="custom" allowBlank="1" showInputMessage="1" showErrorMessage="1" prompt="This would be the amount of time a client is enrolled in the program after they have a housing move-in date in HMIS." sqref="C19:D19" xr:uid="{24E4E5D4-B508-4907-9AA8-7862C8D6F82B}">
      <formula1>ISNUMBER(VALUE(C19))</formula1>
    </dataValidation>
    <dataValidation allowBlank="1" showInputMessage="1" showErrorMessage="1" prompt="This would be the amount of time a client is enrolled in the program before they have a housing move-in date in HMIS." sqref="A18:B18" xr:uid="{49626C12-BC2F-4A83-93FC-FC545807C6EE}"/>
    <dataValidation allowBlank="1" showInputMessage="1" showErrorMessage="1" prompt="This would be the amount of time a client is enrolled in the program after they have a housing move-in date in HMIS." sqref="A19:B20 D20" xr:uid="{CB6DBED7-2087-4AC0-BDB2-640A39A3F901}"/>
    <dataValidation allowBlank="1" showInputMessage="1" showErrorMessage="1" prompt="This column is auto-calculated based on the average rental cost and average utility cost per unit information." sqref="F63:F72" xr:uid="{CA1AC49F-0C24-40CB-9529-0FB7B5BB3F2F}"/>
    <dataValidation allowBlank="1" showInputMessage="1" showErrorMessage="1" prompt="This field required a selection from a drop-down menu. To find this menu, click on the cell and click the down arrow on the right-hand of the cell. " sqref="C26 C40 C76 C94 C116" xr:uid="{CA378364-F86B-4E28-ACDE-DE6C74501733}"/>
    <dataValidation allowBlank="1" showInputMessage="1" showErrorMessage="1" prompt="This field required a selection from a drop-down menu. To find this menu, click on the cell and click the down arrow on the right-hand of the cell." sqref="E26:F26 E40:F40 E76:F76 E94:F94 E116:F116" xr:uid="{B68CB2E7-68E3-4DE8-BE33-F0BC1CDBB920}"/>
    <dataValidation allowBlank="1" showInputMessage="1" showErrorMessage="1" prompt="_x000a_" sqref="G13" xr:uid="{266E850E-28B2-46B7-9999-376A47B48A47}"/>
    <dataValidation type="custom" allowBlank="1" showInputMessage="1" showErrorMessage="1" sqref="D27:D31 D41:D52 D77:D85 D95:D107 D117:D121 B64:E71" xr:uid="{14AAE150-348E-404D-8DEB-14B77027ADAC}">
      <formula1>ISNUMBER(VALUE(B27))</formula1>
    </dataValidation>
    <dataValidation allowBlank="1" showErrorMessage="1" sqref="C20 F14:G14" xr:uid="{FB7C4546-FDAC-4252-8104-2C05649F587D}"/>
    <dataValidation type="custom" allowBlank="1" showInputMessage="1" showErrorMessage="1" prompt="Project capacity is the number of units available at a point in time. Depending on the project type, a unit may represent a rental subsidy, a room or bed in a congregate setting, a motel room, a supportive services slot, etc." sqref="C17:D17" xr:uid="{F71E68C0-A59F-4980-B076-A45293B9987E}">
      <formula1>ISNUMBER(VALUE(C17))</formula1>
    </dataValidation>
    <dataValidation allowBlank="1" showInputMessage="1" showErrorMessage="1" prompt="Project capacity is the number of units available at a point in time. Depending on the project type, a unit may represent a rental subsidy, a room or bed in a congregate setting, a motel room, a supportive services slot, etc." sqref="A17:B17" xr:uid="{06746352-B479-4E85-9492-8C78368AD5C6}"/>
  </dataValidations>
  <pageMargins left="0.7" right="0.7" top="0.75" bottom="0.75" header="0.3" footer="0.3"/>
  <pageSetup orientation="portrait" horizontalDpi="90" verticalDpi="90" r:id="rId1"/>
  <tableParts count="5">
    <tablePart r:id="rId2"/>
    <tablePart r:id="rId3"/>
    <tablePart r:id="rId4"/>
    <tablePart r:id="rId5"/>
    <tablePart r:id="rId6"/>
  </tableParts>
  <extLst>
    <ext xmlns:x14="http://schemas.microsoft.com/office/spreadsheetml/2009/9/main" uri="{CCE6A557-97BC-4b89-ADB6-D9C93CAAB3DF}">
      <x14:dataValidations xmlns:xm="http://schemas.microsoft.com/office/excel/2006/main" count="9">
        <x14:dataValidation type="list" allowBlank="1" showInputMessage="1" showErrorMessage="1" prompt="This field required a selection from a drop-down menu. To find this menu, click on the cell and click the down arrow on the right-hand of the cell. " xr:uid="{17A63A3B-FA40-4AE0-B4AD-473BE08CB3B9}">
          <x14:formula1>
            <xm:f>Allowable!$E$2:$E$4</xm:f>
          </x14:formula1>
          <xm:sqref>C117:C121 C95:C107 C77:C85</xm:sqref>
        </x14:dataValidation>
        <x14:dataValidation type="list" allowBlank="1" showInputMessage="1" showErrorMessage="1" xr:uid="{0152DCF6-4D2A-46E7-A877-2D73F9A4EED8}">
          <x14:formula1>
            <xm:f>Allowable!$B$2:$B$3</xm:f>
          </x14:formula1>
          <xm:sqref>F58</xm:sqref>
        </x14:dataValidation>
        <x14:dataValidation type="list" allowBlank="1" showInputMessage="1" showErrorMessage="1" xr:uid="{9DBC03AA-9604-48E2-A2C4-66354023D2FC}">
          <x14:formula1>
            <xm:f>Allowable!$A$2:$A$5</xm:f>
          </x14:formula1>
          <xm:sqref>E58</xm:sqref>
        </x14:dataValidation>
        <x14:dataValidation type="list" allowBlank="1" showInputMessage="1" showErrorMessage="1" prompt="This field required a selection from a drop-down menu. To find this menu, click on the cell and click the down arrow on the right-hand of the cell." xr:uid="{E4F18594-A5BC-4549-8C4E-A46266BE4AE3}">
          <x14:formula1>
            <xm:f>Allowable!$A$2:$A$5</xm:f>
          </x14:formula1>
          <xm:sqref>E27:E31 E41:E52</xm:sqref>
        </x14:dataValidation>
        <x14:dataValidation type="list" allowBlank="1" showInputMessage="1" showErrorMessage="1" prompt="This field required a selection from a drop-down menu. To find this menu, click on the cell and click the down arrow on the right-hand of the cell. " xr:uid="{40B8B45B-E453-4AB7-9A66-21C16C8F757D}">
          <x14:formula1>
            <xm:f>Allowable!$A$2:$A$5</xm:f>
          </x14:formula1>
          <xm:sqref>E41:E52 E77:E85 E95:E107 E117:E121</xm:sqref>
        </x14:dataValidation>
        <x14:dataValidation type="list" allowBlank="1" showInputMessage="1" showErrorMessage="1" prompt="This field required a selection from a drop-down menu. To find this menu, click on the cell and click the down arrow on the right-hand of the cell. " xr:uid="{292E79B5-5091-4027-A2E9-83FE87E9EE58}">
          <x14:formula1>
            <xm:f>Allowable!$B$2:$B$3</xm:f>
          </x14:formula1>
          <xm:sqref>F41:F52 F77:F85 F95:F107 F117:F121</xm:sqref>
        </x14:dataValidation>
        <x14:dataValidation type="list" allowBlank="1" showInputMessage="1" showErrorMessage="1" prompt="This field required a selection from a drop-down menu. To find this menu, click on the cell and click the down arrow on the right-hand of the cell." xr:uid="{C69F8359-ECFA-4AFE-916E-E4F5BF2319DC}">
          <x14:formula1>
            <xm:f>Allowable!$B$2:$B$3</xm:f>
          </x14:formula1>
          <xm:sqref>F27:F31</xm:sqref>
        </x14:dataValidation>
        <x14:dataValidation type="list" allowBlank="1" showInputMessage="1" showErrorMessage="1" xr:uid="{B07B7AC2-F4EF-4EF4-A2B3-4B0F88E4D3EA}">
          <x14:formula1>
            <xm:f>Allowable!$D$2:$D$13</xm:f>
          </x14:formula1>
          <xm:sqref>C11:D11</xm:sqref>
        </x14:dataValidation>
        <x14:dataValidation type="list" allowBlank="1" showInputMessage="1" showErrorMessage="1" prompt="This field required a selection from a drop-down menu. To find this menu, click on the cell and click the down arrow on the right-hand of the cell. " xr:uid="{7BB6E612-0CA9-4C8D-915A-F684C4F3EA10}">
          <x14:formula1>
            <xm:f>Allowable!$E$2:$E$5</xm:f>
          </x14:formula1>
          <xm:sqref>C27:C31 C41:C52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3f05d2a-2816-4e3e-9f74-953efe1832e7">
      <UserInfo>
        <DisplayName>Kathryn Primas</DisplayName>
        <AccountId>87</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3B74B517C4DE04889071AB728FBCCFD" ma:contentTypeVersion="15" ma:contentTypeDescription="Create a new document." ma:contentTypeScope="" ma:versionID="39fbf5a46f10953f16af4d9af76253bb">
  <xsd:schema xmlns:xsd="http://www.w3.org/2001/XMLSchema" xmlns:xs="http://www.w3.org/2001/XMLSchema" xmlns:p="http://schemas.microsoft.com/office/2006/metadata/properties" xmlns:ns2="8fe5286d-1254-45ec-9fb8-bdae67fc9a19" xmlns:ns3="53f05d2a-2816-4e3e-9f74-953efe1832e7" targetNamespace="http://schemas.microsoft.com/office/2006/metadata/properties" ma:root="true" ma:fieldsID="75df8f198ba4e089145ff90d31980327" ns2:_="" ns3:_="">
    <xsd:import namespace="8fe5286d-1254-45ec-9fb8-bdae67fc9a19"/>
    <xsd:import namespace="53f05d2a-2816-4e3e-9f74-953efe1832e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e5286d-1254-45ec-9fb8-bdae67fc9a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f05d2a-2816-4e3e-9f74-953efe1832e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ABC168-D4A6-48AD-B684-E504E932CD1F}">
  <ds:schemaRefs>
    <ds:schemaRef ds:uri="http://schemas.microsoft.com/office/2006/metadata/properties"/>
    <ds:schemaRef ds:uri="http://www.w3.org/XML/1998/namespace"/>
    <ds:schemaRef ds:uri="http://schemas.microsoft.com/office/infopath/2007/PartnerControls"/>
    <ds:schemaRef ds:uri="http://purl.org/dc/terms/"/>
    <ds:schemaRef ds:uri="http://purl.org/dc/elements/1.1/"/>
    <ds:schemaRef ds:uri="http://schemas.microsoft.com/office/2006/documentManagement/types"/>
    <ds:schemaRef ds:uri="http://schemas.openxmlformats.org/package/2006/metadata/core-properties"/>
    <ds:schemaRef ds:uri="53f05d2a-2816-4e3e-9f74-953efe1832e7"/>
    <ds:schemaRef ds:uri="8fe5286d-1254-45ec-9fb8-bdae67fc9a19"/>
    <ds:schemaRef ds:uri="http://purl.org/dc/dcmitype/"/>
  </ds:schemaRefs>
</ds:datastoreItem>
</file>

<file path=customXml/itemProps2.xml><?xml version="1.0" encoding="utf-8"?>
<ds:datastoreItem xmlns:ds="http://schemas.openxmlformats.org/officeDocument/2006/customXml" ds:itemID="{9E61AE8F-A122-4D8D-9D02-9DC402C98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e5286d-1254-45ec-9fb8-bdae67fc9a19"/>
    <ds:schemaRef ds:uri="53f05d2a-2816-4e3e-9f74-953efe1832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3C5766-F1A6-4022-9CF5-B24507D9D75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Instructions</vt:lpstr>
      <vt:lpstr>CoC Cost Eligibility</vt:lpstr>
      <vt:lpstr>Example Model Project Type</vt:lpstr>
      <vt:lpstr>Example Project</vt:lpstr>
      <vt:lpstr>Model Project Type</vt:lpstr>
      <vt:lpstr>Project 1</vt:lpstr>
      <vt:lpstr>Project 2</vt:lpstr>
      <vt:lpstr>Project 3</vt:lpstr>
      <vt:lpstr>Project 4</vt:lpstr>
      <vt:lpstr>Project 5</vt:lpstr>
      <vt:lpstr>Project 6</vt:lpstr>
      <vt:lpstr>Project 7</vt:lpstr>
      <vt:lpstr>Project 8</vt:lpstr>
      <vt:lpstr>Project 9</vt:lpstr>
      <vt:lpstr>Project 10</vt:lpstr>
      <vt:lpstr>Allowable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Project Cost Calculator</dc:title>
  <dc:subject>The Project Cost Calculator provides communities a framework to make data-informed cost estimates for each project type included in the system model. The resulting Annual Cost Per Unit for each project type can be entered into Stella M to produce system cost estimates.</dc:subject>
  <dc:creator>Abt Associates</dc:creator>
  <cp:keywords/>
  <dc:description/>
  <cp:lastModifiedBy>Steger, Kate</cp:lastModifiedBy>
  <cp:revision/>
  <dcterms:created xsi:type="dcterms:W3CDTF">2021-04-22T20:15:50Z</dcterms:created>
  <dcterms:modified xsi:type="dcterms:W3CDTF">2024-06-05T14:42:15Z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0x01010093B74B517C4DE04889071AB728FBCCFD</vt:lpwstr>
  </property>
</Properties>
</file>