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cfonline-my.sharepoint.com/personal/55744_icf_com/Documents/Documents/Steph Tasks/PIH tasks/PHA content/Public Housing Assessment System Training Improving PHA Performance/"/>
    </mc:Choice>
  </mc:AlternateContent>
  <xr:revisionPtr revIDLastSave="1" documentId="13_ncr:1_{38F28D75-B1C9-415A-B305-E0D157617766}" xr6:coauthVersionLast="47" xr6:coauthVersionMax="47" xr10:uidLastSave="{A48E9CD5-A6F5-469A-A1C3-ACCC7B8E19F3}"/>
  <bookViews>
    <workbookView xWindow="-33885" yWindow="4650" windowWidth="19380" windowHeight="18600" tabRatio="778" xr2:uid="{00000000-000D-0000-FFFF-FFFF00000000}"/>
  </bookViews>
  <sheets>
    <sheet name="Quick Ratio" sheetId="1" r:id="rId1"/>
    <sheet name="MENAR" sheetId="4" r:id="rId2"/>
    <sheet name="DSCR" sheetId="5" r:id="rId3"/>
    <sheet name="Score Summary - FASS" sheetId="2" r:id="rId4"/>
    <sheet name="PHA Score - FASS" sheetId="3" r:id="rId5"/>
    <sheet name="Occupancy" sheetId="7" r:id="rId6"/>
    <sheet name="TAR" sheetId="6" r:id="rId7"/>
    <sheet name="A-P" sheetId="8" r:id="rId8"/>
    <sheet name="Score Summary - MASS" sheetId="9" r:id="rId9"/>
    <sheet name="PHA Score - MASS" sheetId="10" r:id="rId10"/>
  </sheets>
  <definedNames>
    <definedName name="_xlnm.Print_Area" localSheetId="7">'A-P'!$A$1:$K$17</definedName>
    <definedName name="_xlnm.Print_Area" localSheetId="2">DSCR!$A$1:$K$20</definedName>
    <definedName name="_xlnm.Print_Area" localSheetId="1">MENAR!$A$1:$K$42</definedName>
    <definedName name="_xlnm.Print_Area" localSheetId="5">Occupancy!$A$1:$K$14</definedName>
    <definedName name="_xlnm.Print_Area" localSheetId="6">TAR!$A$1:$K$16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4" l="1"/>
  <c r="C8" i="7" l="1"/>
  <c r="D8" i="7"/>
  <c r="E8" i="7"/>
  <c r="F8" i="7"/>
  <c r="G8" i="7"/>
  <c r="H8" i="7"/>
  <c r="I8" i="7"/>
  <c r="J8" i="7"/>
  <c r="B5" i="10" l="1"/>
  <c r="B6" i="10"/>
  <c r="B7" i="10"/>
  <c r="B8" i="10"/>
  <c r="B9" i="10"/>
  <c r="B10" i="10"/>
  <c r="B11" i="10"/>
  <c r="B12" i="10"/>
  <c r="B4" i="10"/>
  <c r="K8" i="7"/>
  <c r="D16" i="4"/>
  <c r="E16" i="4"/>
  <c r="F16" i="4"/>
  <c r="G16" i="4"/>
  <c r="H16" i="4"/>
  <c r="I16" i="4"/>
  <c r="J16" i="4"/>
  <c r="K16" i="4"/>
  <c r="C16" i="4"/>
  <c r="D14" i="4"/>
  <c r="E14" i="4"/>
  <c r="F14" i="4"/>
  <c r="G14" i="4"/>
  <c r="H14" i="4"/>
  <c r="I14" i="4"/>
  <c r="J14" i="4"/>
  <c r="K14" i="4"/>
  <c r="C14" i="4"/>
  <c r="D13" i="4"/>
  <c r="E13" i="4"/>
  <c r="F13" i="4"/>
  <c r="G13" i="4"/>
  <c r="H13" i="4"/>
  <c r="I13" i="4"/>
  <c r="J13" i="4"/>
  <c r="K13" i="4"/>
  <c r="C13" i="4"/>
  <c r="D12" i="4"/>
  <c r="E12" i="4"/>
  <c r="F12" i="4"/>
  <c r="G12" i="4"/>
  <c r="H12" i="4"/>
  <c r="I12" i="4"/>
  <c r="J12" i="4"/>
  <c r="K12" i="4"/>
  <c r="C12" i="4"/>
  <c r="D11" i="4"/>
  <c r="E11" i="4"/>
  <c r="F11" i="4"/>
  <c r="G11" i="4"/>
  <c r="H11" i="4"/>
  <c r="I11" i="4"/>
  <c r="J11" i="4"/>
  <c r="K11" i="4"/>
  <c r="C11" i="4"/>
  <c r="D10" i="4"/>
  <c r="E10" i="4"/>
  <c r="F10" i="4"/>
  <c r="G10" i="4"/>
  <c r="H10" i="4"/>
  <c r="I10" i="4"/>
  <c r="J10" i="4"/>
  <c r="K10" i="4"/>
  <c r="C10" i="4"/>
  <c r="D9" i="4"/>
  <c r="E9" i="4"/>
  <c r="F9" i="4"/>
  <c r="G9" i="4"/>
  <c r="H9" i="4"/>
  <c r="I9" i="4"/>
  <c r="J9" i="4"/>
  <c r="K9" i="4"/>
  <c r="C9" i="4"/>
  <c r="D8" i="4"/>
  <c r="E8" i="4"/>
  <c r="F8" i="4"/>
  <c r="G8" i="4"/>
  <c r="H8" i="4"/>
  <c r="I8" i="4"/>
  <c r="J8" i="4"/>
  <c r="K8" i="4"/>
  <c r="C8" i="4"/>
  <c r="D7" i="4"/>
  <c r="E7" i="4"/>
  <c r="F7" i="4"/>
  <c r="G7" i="4"/>
  <c r="H7" i="4"/>
  <c r="I7" i="4"/>
  <c r="J7" i="4"/>
  <c r="K7" i="4"/>
  <c r="C10" i="7" l="1"/>
  <c r="C12" i="7" s="1"/>
  <c r="D10" i="6"/>
  <c r="D12" i="6" s="1"/>
  <c r="E10" i="6"/>
  <c r="E12" i="6" s="1"/>
  <c r="E14" i="6" s="1"/>
  <c r="F7" i="9" s="1"/>
  <c r="F10" i="6"/>
  <c r="F12" i="6" s="1"/>
  <c r="G10" i="6"/>
  <c r="G12" i="6" s="1"/>
  <c r="H10" i="6"/>
  <c r="H12" i="6" s="1"/>
  <c r="I10" i="6"/>
  <c r="I12" i="6" s="1"/>
  <c r="I14" i="6" s="1"/>
  <c r="F11" i="9" s="1"/>
  <c r="J10" i="6"/>
  <c r="J12" i="6" s="1"/>
  <c r="K10" i="6"/>
  <c r="K12" i="6" s="1"/>
  <c r="C10" i="6"/>
  <c r="C12" i="6" s="1"/>
  <c r="D10" i="8"/>
  <c r="D11" i="8" s="1"/>
  <c r="E10" i="8"/>
  <c r="E11" i="8" s="1"/>
  <c r="F10" i="8"/>
  <c r="F11" i="8" s="1"/>
  <c r="G10" i="8"/>
  <c r="H10" i="8"/>
  <c r="H11" i="8" s="1"/>
  <c r="I10" i="8"/>
  <c r="I11" i="8" s="1"/>
  <c r="J10" i="8"/>
  <c r="J11" i="8" s="1"/>
  <c r="K10" i="8"/>
  <c r="K11" i="8" s="1"/>
  <c r="C10" i="8"/>
  <c r="C11" i="8" s="1"/>
  <c r="G11" i="8"/>
  <c r="D8" i="8"/>
  <c r="E8" i="8"/>
  <c r="F8" i="8"/>
  <c r="G8" i="8"/>
  <c r="H8" i="8"/>
  <c r="I8" i="8"/>
  <c r="J8" i="8"/>
  <c r="K8" i="8"/>
  <c r="C8" i="8"/>
  <c r="K10" i="7"/>
  <c r="C13" i="9" s="1"/>
  <c r="J10" i="7"/>
  <c r="C12" i="9" s="1"/>
  <c r="I10" i="7"/>
  <c r="I12" i="7" s="1"/>
  <c r="D11" i="9" s="1"/>
  <c r="H10" i="7"/>
  <c r="C10" i="9" s="1"/>
  <c r="G10" i="7"/>
  <c r="C9" i="9" s="1"/>
  <c r="F10" i="7"/>
  <c r="C8" i="9" s="1"/>
  <c r="E10" i="7"/>
  <c r="E12" i="7" s="1"/>
  <c r="D7" i="9" s="1"/>
  <c r="D10" i="7"/>
  <c r="C6" i="9" s="1"/>
  <c r="D14" i="5"/>
  <c r="D16" i="5" s="1"/>
  <c r="E14" i="5"/>
  <c r="E16" i="5" s="1"/>
  <c r="F14" i="5"/>
  <c r="F16" i="5" s="1"/>
  <c r="F18" i="5" s="1"/>
  <c r="H8" i="2" s="1"/>
  <c r="G14" i="5"/>
  <c r="G16" i="5" s="1"/>
  <c r="G18" i="5" s="1"/>
  <c r="H9" i="2" s="1"/>
  <c r="H14" i="5"/>
  <c r="H16" i="5" s="1"/>
  <c r="I14" i="5"/>
  <c r="I16" i="5" s="1"/>
  <c r="J14" i="5"/>
  <c r="J16" i="5" s="1"/>
  <c r="J18" i="5" s="1"/>
  <c r="H12" i="2" s="1"/>
  <c r="K14" i="5"/>
  <c r="K16" i="5" s="1"/>
  <c r="G13" i="2" s="1"/>
  <c r="C14" i="5"/>
  <c r="C16" i="5" s="1"/>
  <c r="D9" i="5"/>
  <c r="E9" i="5"/>
  <c r="F9" i="5"/>
  <c r="G9" i="5"/>
  <c r="H9" i="5"/>
  <c r="I9" i="5"/>
  <c r="J9" i="5"/>
  <c r="K9" i="5"/>
  <c r="C9" i="5"/>
  <c r="F17" i="4"/>
  <c r="F42" i="4"/>
  <c r="D42" i="4"/>
  <c r="E42" i="4"/>
  <c r="G42" i="4"/>
  <c r="H42" i="4"/>
  <c r="I42" i="4"/>
  <c r="J42" i="4"/>
  <c r="C42" i="4"/>
  <c r="K42" i="4"/>
  <c r="D17" i="4"/>
  <c r="E17" i="4"/>
  <c r="G17" i="4"/>
  <c r="H17" i="4"/>
  <c r="I17" i="4"/>
  <c r="J17" i="4"/>
  <c r="K17" i="4"/>
  <c r="C17" i="4"/>
  <c r="D20" i="1"/>
  <c r="E20" i="1"/>
  <c r="F20" i="1"/>
  <c r="G20" i="1"/>
  <c r="H20" i="1"/>
  <c r="I20" i="1"/>
  <c r="J20" i="1"/>
  <c r="K20" i="1"/>
  <c r="C20" i="1"/>
  <c r="D15" i="1"/>
  <c r="E15" i="1"/>
  <c r="F15" i="1"/>
  <c r="G15" i="1"/>
  <c r="H15" i="1"/>
  <c r="I15" i="1"/>
  <c r="J15" i="1"/>
  <c r="K15" i="1"/>
  <c r="C15" i="1"/>
  <c r="K22" i="1" l="1"/>
  <c r="K24" i="1" s="1"/>
  <c r="D13" i="2" s="1"/>
  <c r="G22" i="1"/>
  <c r="C9" i="2" s="1"/>
  <c r="I18" i="5"/>
  <c r="H11" i="2" s="1"/>
  <c r="G11" i="2"/>
  <c r="E18" i="5"/>
  <c r="H7" i="2" s="1"/>
  <c r="G7" i="2"/>
  <c r="H18" i="5"/>
  <c r="H10" i="2" s="1"/>
  <c r="G10" i="2"/>
  <c r="G6" i="2"/>
  <c r="D18" i="5"/>
  <c r="H6" i="2" s="1"/>
  <c r="C5" i="9"/>
  <c r="K18" i="5"/>
  <c r="H13" i="2" s="1"/>
  <c r="G12" i="2"/>
  <c r="G9" i="2"/>
  <c r="G8" i="2"/>
  <c r="K20" i="4"/>
  <c r="K24" i="4" s="1"/>
  <c r="J20" i="4"/>
  <c r="J24" i="4" s="1"/>
  <c r="I20" i="4"/>
  <c r="I24" i="4" s="1"/>
  <c r="H20" i="4"/>
  <c r="G20" i="4"/>
  <c r="F20" i="4"/>
  <c r="E20" i="4"/>
  <c r="D20" i="4"/>
  <c r="C20" i="4"/>
  <c r="J22" i="1"/>
  <c r="J24" i="1" s="1"/>
  <c r="D12" i="2" s="1"/>
  <c r="I22" i="1"/>
  <c r="C11" i="2" s="1"/>
  <c r="F22" i="1"/>
  <c r="C8" i="2" s="1"/>
  <c r="E22" i="1"/>
  <c r="C7" i="2" s="1"/>
  <c r="H14" i="6"/>
  <c r="F10" i="9" s="1"/>
  <c r="E10" i="9"/>
  <c r="J14" i="6"/>
  <c r="F12" i="9" s="1"/>
  <c r="E12" i="9"/>
  <c r="E8" i="9"/>
  <c r="F14" i="6"/>
  <c r="F8" i="9" s="1"/>
  <c r="K14" i="6"/>
  <c r="F13" i="9" s="1"/>
  <c r="E13" i="9"/>
  <c r="E9" i="9"/>
  <c r="G14" i="6"/>
  <c r="F9" i="9" s="1"/>
  <c r="D14" i="6"/>
  <c r="F6" i="9" s="1"/>
  <c r="E6" i="9"/>
  <c r="C14" i="6"/>
  <c r="F5" i="9" s="1"/>
  <c r="E5" i="9"/>
  <c r="E7" i="9"/>
  <c r="E11" i="9"/>
  <c r="C7" i="9"/>
  <c r="C11" i="9"/>
  <c r="D12" i="7"/>
  <c r="D6" i="9" s="1"/>
  <c r="H12" i="7"/>
  <c r="D10" i="9" s="1"/>
  <c r="G12" i="7"/>
  <c r="D9" i="9" s="1"/>
  <c r="K12" i="7"/>
  <c r="D13" i="9" s="1"/>
  <c r="F12" i="7"/>
  <c r="D8" i="9" s="1"/>
  <c r="J12" i="7"/>
  <c r="D12" i="9" s="1"/>
  <c r="C22" i="1"/>
  <c r="C24" i="1" s="1"/>
  <c r="D5" i="2" s="1"/>
  <c r="H22" i="1"/>
  <c r="H24" i="1" s="1"/>
  <c r="D10" i="2" s="1"/>
  <c r="D22" i="1"/>
  <c r="C6" i="2" s="1"/>
  <c r="D13" i="8"/>
  <c r="D15" i="8" s="1"/>
  <c r="H6" i="9" s="1"/>
  <c r="F13" i="8"/>
  <c r="F15" i="8" s="1"/>
  <c r="H8" i="9" s="1"/>
  <c r="H13" i="8"/>
  <c r="H15" i="8" s="1"/>
  <c r="H10" i="9" s="1"/>
  <c r="J13" i="8"/>
  <c r="J15" i="8" s="1"/>
  <c r="H12" i="9" s="1"/>
  <c r="C13" i="8"/>
  <c r="C15" i="8" s="1"/>
  <c r="H5" i="9" s="1"/>
  <c r="E13" i="8"/>
  <c r="E15" i="8" s="1"/>
  <c r="H7" i="9" s="1"/>
  <c r="I7" i="9" s="1"/>
  <c r="D6" i="10" s="1"/>
  <c r="E6" i="10" s="1"/>
  <c r="G13" i="8"/>
  <c r="G15" i="8" s="1"/>
  <c r="H9" i="9" s="1"/>
  <c r="I13" i="8"/>
  <c r="I15" i="8" s="1"/>
  <c r="H11" i="9" s="1"/>
  <c r="I11" i="9" s="1"/>
  <c r="D10" i="10" s="1"/>
  <c r="E10" i="10" s="1"/>
  <c r="K13" i="8"/>
  <c r="K15" i="8" s="1"/>
  <c r="H13" i="9" s="1"/>
  <c r="C18" i="5"/>
  <c r="H5" i="2" s="1"/>
  <c r="G5" i="2"/>
  <c r="D5" i="9"/>
  <c r="C13" i="10"/>
  <c r="C15" i="3"/>
  <c r="C13" i="2" l="1"/>
  <c r="G24" i="1"/>
  <c r="D9" i="2" s="1"/>
  <c r="D24" i="4"/>
  <c r="D25" i="4" s="1"/>
  <c r="D27" i="4" s="1"/>
  <c r="H24" i="4"/>
  <c r="H25" i="4" s="1"/>
  <c r="H27" i="4" s="1"/>
  <c r="C24" i="4"/>
  <c r="C25" i="4" s="1"/>
  <c r="C27" i="4" s="1"/>
  <c r="G24" i="4"/>
  <c r="G25" i="4" s="1"/>
  <c r="G27" i="4" s="1"/>
  <c r="K25" i="4"/>
  <c r="K27" i="4" s="1"/>
  <c r="F24" i="4"/>
  <c r="F25" i="4" s="1"/>
  <c r="F27" i="4" s="1"/>
  <c r="F29" i="4" s="1"/>
  <c r="F8" i="2" s="1"/>
  <c r="J25" i="4"/>
  <c r="J27" i="4" s="1"/>
  <c r="E24" i="4"/>
  <c r="E25" i="4" s="1"/>
  <c r="E27" i="4" s="1"/>
  <c r="E29" i="4" s="1"/>
  <c r="F7" i="2" s="1"/>
  <c r="I25" i="4"/>
  <c r="I27" i="4" s="1"/>
  <c r="I10" i="9"/>
  <c r="D9" i="10" s="1"/>
  <c r="E9" i="10" s="1"/>
  <c r="I9" i="9"/>
  <c r="D8" i="10" s="1"/>
  <c r="E8" i="10" s="1"/>
  <c r="I6" i="9"/>
  <c r="D5" i="10" s="1"/>
  <c r="E5" i="10" s="1"/>
  <c r="C12" i="2"/>
  <c r="I24" i="1"/>
  <c r="D11" i="2" s="1"/>
  <c r="F24" i="1"/>
  <c r="D8" i="2" s="1"/>
  <c r="E24" i="1"/>
  <c r="D7" i="2" s="1"/>
  <c r="C10" i="2"/>
  <c r="D24" i="1"/>
  <c r="D6" i="2" s="1"/>
  <c r="C5" i="2"/>
  <c r="I12" i="9"/>
  <c r="D11" i="10" s="1"/>
  <c r="E11" i="10" s="1"/>
  <c r="I8" i="9"/>
  <c r="D7" i="10" s="1"/>
  <c r="E7" i="10" s="1"/>
  <c r="I13" i="9"/>
  <c r="D12" i="10" s="1"/>
  <c r="E12" i="10" s="1"/>
  <c r="I5" i="9"/>
  <c r="D4" i="10" s="1"/>
  <c r="E4" i="10" s="1"/>
  <c r="G13" i="9"/>
  <c r="G9" i="9"/>
  <c r="G5" i="9"/>
  <c r="G10" i="9"/>
  <c r="G6" i="9"/>
  <c r="G11" i="9"/>
  <c r="G7" i="9"/>
  <c r="G12" i="9"/>
  <c r="G8" i="9"/>
  <c r="G29" i="4" l="1"/>
  <c r="F9" i="2" s="1"/>
  <c r="I9" i="2" s="1"/>
  <c r="D10" i="3" s="1"/>
  <c r="E10" i="3" s="1"/>
  <c r="E9" i="2"/>
  <c r="H29" i="4"/>
  <c r="F10" i="2" s="1"/>
  <c r="I10" i="2" s="1"/>
  <c r="D11" i="3" s="1"/>
  <c r="E11" i="3" s="1"/>
  <c r="E10" i="2"/>
  <c r="I29" i="4"/>
  <c r="F11" i="2" s="1"/>
  <c r="I11" i="2" s="1"/>
  <c r="D12" i="3" s="1"/>
  <c r="E12" i="3" s="1"/>
  <c r="E11" i="2"/>
  <c r="D29" i="4"/>
  <c r="F6" i="2" s="1"/>
  <c r="I6" i="2" s="1"/>
  <c r="D7" i="3" s="1"/>
  <c r="E7" i="3" s="1"/>
  <c r="E6" i="2"/>
  <c r="J29" i="4"/>
  <c r="F12" i="2" s="1"/>
  <c r="I12" i="2" s="1"/>
  <c r="D13" i="3" s="1"/>
  <c r="E13" i="3" s="1"/>
  <c r="E12" i="2"/>
  <c r="K29" i="4"/>
  <c r="F13" i="2" s="1"/>
  <c r="I13" i="2" s="1"/>
  <c r="D14" i="3" s="1"/>
  <c r="E14" i="3" s="1"/>
  <c r="E13" i="2"/>
  <c r="C29" i="4"/>
  <c r="F5" i="2" s="1"/>
  <c r="I5" i="2" s="1"/>
  <c r="D6" i="3" s="1"/>
  <c r="E6" i="3" s="1"/>
  <c r="E5" i="2"/>
  <c r="E7" i="2"/>
  <c r="E8" i="2"/>
  <c r="E13" i="10"/>
  <c r="E14" i="10" s="1"/>
  <c r="I8" i="2"/>
  <c r="D9" i="3" s="1"/>
  <c r="E9" i="3" s="1"/>
  <c r="I7" i="2"/>
  <c r="D8" i="3" s="1"/>
  <c r="E8" i="3" s="1"/>
  <c r="E15" i="3" l="1"/>
  <c r="E16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B10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Pulls from MENAR calculation page</t>
        </r>
      </text>
    </comment>
  </commentList>
</comments>
</file>

<file path=xl/sharedStrings.xml><?xml version="1.0" encoding="utf-8"?>
<sst xmlns="http://schemas.openxmlformats.org/spreadsheetml/2006/main" count="284" uniqueCount="131">
  <si>
    <t>Line 111</t>
  </si>
  <si>
    <t>Line 114</t>
  </si>
  <si>
    <t>Line 115</t>
  </si>
  <si>
    <t>Line 120</t>
  </si>
  <si>
    <t>Line 131</t>
  </si>
  <si>
    <t>Line 135</t>
  </si>
  <si>
    <t>Line 142</t>
  </si>
  <si>
    <t>Line 144</t>
  </si>
  <si>
    <t>AMP 1</t>
  </si>
  <si>
    <t>AMP 2</t>
  </si>
  <si>
    <t>AMP 3</t>
  </si>
  <si>
    <t>AMP 4</t>
  </si>
  <si>
    <t>AMP 5</t>
  </si>
  <si>
    <t>AMP 6</t>
  </si>
  <si>
    <t>AMP 7</t>
  </si>
  <si>
    <t>AMP 8</t>
  </si>
  <si>
    <t>AMP 9</t>
  </si>
  <si>
    <t>Cash - Unrestricted</t>
  </si>
  <si>
    <t>Cash - Tenant Security Deposits</t>
  </si>
  <si>
    <t>Cash - Restricted for Payment of Current Liabilities</t>
  </si>
  <si>
    <t>Total Receivables, net of allowances for doubtful accounts</t>
  </si>
  <si>
    <t>Investments - Unrestricted</t>
  </si>
  <si>
    <t>Investments - Restricted for payment of current liabilities</t>
  </si>
  <si>
    <t>Prepaid Expenses and Other Assets</t>
  </si>
  <si>
    <t>Inter-Program - Due From</t>
  </si>
  <si>
    <t>Measured by using the project's available, unrestricted current assets (except inventory and assets held for sale) divided by the project's current liablities</t>
  </si>
  <si>
    <t>Line 310</t>
  </si>
  <si>
    <t>Total Current Liabilities</t>
  </si>
  <si>
    <t>Line 343-010</t>
  </si>
  <si>
    <t>CFPP - current portion of long term debt capital projects/mortgage revenue bonds</t>
  </si>
  <si>
    <t>TOTAL AVAILABLE CURRENT ASSETS</t>
  </si>
  <si>
    <t>TOTAL CURRENT LIABILITIES</t>
  </si>
  <si>
    <t>FASS SUB - INDICATOR - QUICK RATIO</t>
  </si>
  <si>
    <t>MEASURES LIQUIDITY</t>
  </si>
  <si>
    <t>FASS SUB-INDICATOR VALUE</t>
  </si>
  <si>
    <t>FASS SUB-INDICATOR SCORE</t>
  </si>
  <si>
    <t>The maximum point value for this sub-indicator is 12.0 points</t>
  </si>
  <si>
    <t>FASS SUB - INDICATOR - MONTHS EXPENDABLE NET ASSETS RATIO (MENAR)</t>
  </si>
  <si>
    <t>MEASURES VIABILITY</t>
  </si>
  <si>
    <t>Compares the net available unrestricted resources to the average monthly operating expenses</t>
  </si>
  <si>
    <t>The maximum point value for this sub-indicator is 11.0 points</t>
  </si>
  <si>
    <t>less</t>
  </si>
  <si>
    <t>TOTAL UNRESTRICTED RESOURCES</t>
  </si>
  <si>
    <t>Line 96900</t>
  </si>
  <si>
    <t>Total Operating Expenses</t>
  </si>
  <si>
    <t>Line 97100</t>
  </si>
  <si>
    <t>Extraordinary Maintenance</t>
  </si>
  <si>
    <t>Line 97200</t>
  </si>
  <si>
    <t>Casualty Losses - Non-capitalized</t>
  </si>
  <si>
    <t>Line 97800</t>
  </si>
  <si>
    <t>Dwelling Units Rent Expense</t>
  </si>
  <si>
    <t>TOTAL OPERATING AND OTHER EXPENSES</t>
  </si>
  <si>
    <t>Excluded CFP expenses</t>
  </si>
  <si>
    <t>Administrative Salaries</t>
  </si>
  <si>
    <t>Auditing Fees</t>
  </si>
  <si>
    <t>Property Management Fee</t>
  </si>
  <si>
    <t>Administrative Benefits</t>
  </si>
  <si>
    <t>Other</t>
  </si>
  <si>
    <t>Other General Expenses</t>
  </si>
  <si>
    <t>TOTAL</t>
  </si>
  <si>
    <t>Divided by 12</t>
  </si>
  <si>
    <t>FASS SUB - INDICATOR - DEBT SERVICE COVERAGE RATIO (DSCR)</t>
  </si>
  <si>
    <t>MEASURES ABILITY TO MEET REGULAR DEBT OBLIGATIONS</t>
  </si>
  <si>
    <t>The maximum point value for this sub-indicator is 2.0 points</t>
  </si>
  <si>
    <t>Calculated by dividing adjusted operating income by a project's annual debt service</t>
  </si>
  <si>
    <t>Line 97000</t>
  </si>
  <si>
    <t>Excess Operating Revenue Over Operating Expenses</t>
  </si>
  <si>
    <t>Line 96700</t>
  </si>
  <si>
    <t>Total Interest Expense and Amortization Cost</t>
  </si>
  <si>
    <t>TOTAL ADJUSTED OPERATING INCOME</t>
  </si>
  <si>
    <t>Line 96710</t>
  </si>
  <si>
    <t>Interest of Mortgage (or Bonds) Payable</t>
  </si>
  <si>
    <t>Line 96720</t>
  </si>
  <si>
    <t>Interest on Notes Payable (Short and Long Term)</t>
  </si>
  <si>
    <t>Required Annual Debt Principal Payments</t>
  </si>
  <si>
    <t>ANNUAL DEBT SERVICE</t>
  </si>
  <si>
    <t>Line 11020</t>
  </si>
  <si>
    <t>Project</t>
  </si>
  <si>
    <t>Value</t>
  </si>
  <si>
    <t>Score</t>
  </si>
  <si>
    <t>Quick Ratio</t>
  </si>
  <si>
    <t>MENAR</t>
  </si>
  <si>
    <t>DSCR</t>
  </si>
  <si>
    <t>No</t>
  </si>
  <si>
    <t>Project Score</t>
  </si>
  <si>
    <t xml:space="preserve">Mixed </t>
  </si>
  <si>
    <t>Finance</t>
  </si>
  <si>
    <t>PHA Score Summary</t>
  </si>
  <si>
    <t>Unit Months Available</t>
  </si>
  <si>
    <t>Line 11190</t>
  </si>
  <si>
    <t>Units</t>
  </si>
  <si>
    <t>Weighted Value</t>
  </si>
  <si>
    <t>Unit Months Available Line 11190</t>
  </si>
  <si>
    <t>PHA Total</t>
  </si>
  <si>
    <t>PHA Unit Weighted FASS Score</t>
  </si>
  <si>
    <t>(PHA Total Weighted Total / Total Units)</t>
  </si>
  <si>
    <t>MASS SUB - INDICATOR - TENANTS ACCOUNTS RECEIVABLE</t>
  </si>
  <si>
    <t>The maximum point value for this sub-indicator is 5.0 points</t>
  </si>
  <si>
    <t>PHA Score Calculation - FASS</t>
  </si>
  <si>
    <t>CFP Operating Expenses**</t>
  </si>
  <si>
    <t>Represents the amount of the tenant accounts receivable against tenant revenue</t>
  </si>
  <si>
    <t>Line 126</t>
  </si>
  <si>
    <t>Accounts Receivable - Tenants</t>
  </si>
  <si>
    <t>Line 70500</t>
  </si>
  <si>
    <t>Total Tenant Revenue</t>
  </si>
  <si>
    <t>MASS SUB-INDICATOR VALUE</t>
  </si>
  <si>
    <t>MASS SUB-INDICATOR SCORE</t>
  </si>
  <si>
    <t>MASS SUB - INDICATOR - OCCUPANCY</t>
  </si>
  <si>
    <t>The maximum point value for this sub-indicator is 16.0 points</t>
  </si>
  <si>
    <t>Emphasizes and measures project's performance in keeping available units occupied</t>
  </si>
  <si>
    <t>Line 11210</t>
  </si>
  <si>
    <t>Unit Months Leased</t>
  </si>
  <si>
    <t>MASS SUB - INDICATOR - ACCOUNTS PAYABLE</t>
  </si>
  <si>
    <t>Measures total vendor accounts payable, both current and past due against total monthly operating expenses</t>
  </si>
  <si>
    <t>The maximum point value for this sub-indicator is 4.0 points</t>
  </si>
  <si>
    <t>Line 312</t>
  </si>
  <si>
    <t>Current Accounts Payable &lt; 90 Days</t>
  </si>
  <si>
    <t>Line 313</t>
  </si>
  <si>
    <t>Past Due Accounts Payable &gt; 90 Days</t>
  </si>
  <si>
    <t>TOTAL ACCOUNTS PAYABLE</t>
  </si>
  <si>
    <t>PHA Score Summary - MASS</t>
  </si>
  <si>
    <t>Occupancy</t>
  </si>
  <si>
    <t>TAR</t>
  </si>
  <si>
    <t>A/P</t>
  </si>
  <si>
    <t>Line 96400</t>
  </si>
  <si>
    <t>Bad Debt - Tenant Rents</t>
  </si>
  <si>
    <t>NET TENANT RENTAL REVENUE</t>
  </si>
  <si>
    <t>those lines due to CFP revenues/expenses (soft costs) having no net effect on the agency's reserve level.</t>
  </si>
  <si>
    <t>(PHA Total Weighted Value / Total Units)</t>
  </si>
  <si>
    <t>**The denominator is derived from the "Low Rent" column of the project only and does not include any amounts reported in the "Capital Fund" column for</t>
  </si>
  <si>
    <t>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</si>
</sst>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.0_);_(* \(#,##0.0\);_(* &quot;-&quot;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41" fontId="0" fillId="0" borderId="0" xfId="0" applyNumberFormat="1"/>
    <xf numFmtId="41" fontId="0" fillId="0" borderId="0" xfId="0" applyNumberFormat="1" applyAlignment="1">
      <alignment wrapText="1"/>
    </xf>
    <xf numFmtId="41" fontId="0" fillId="0" borderId="1" xfId="0" applyNumberFormat="1" applyBorder="1" applyAlignment="1">
      <alignment horizontal="center"/>
    </xf>
    <xf numFmtId="41" fontId="0" fillId="0" borderId="0" xfId="0" applyNumberFormat="1" applyAlignment="1">
      <alignment horizontal="left" wrapText="1"/>
    </xf>
    <xf numFmtId="41" fontId="0" fillId="0" borderId="0" xfId="0" applyNumberFormat="1" applyAlignment="1">
      <alignment horizontal="right"/>
    </xf>
    <xf numFmtId="41" fontId="1" fillId="0" borderId="0" xfId="0" applyNumberFormat="1" applyFont="1" applyAlignment="1">
      <alignment horizontal="right"/>
    </xf>
    <xf numFmtId="41" fontId="1" fillId="0" borderId="0" xfId="0" applyNumberFormat="1" applyFont="1"/>
    <xf numFmtId="43" fontId="0" fillId="0" borderId="0" xfId="0" applyNumberFormat="1"/>
    <xf numFmtId="41" fontId="0" fillId="0" borderId="2" xfId="0" applyNumberFormat="1" applyBorder="1"/>
    <xf numFmtId="164" fontId="0" fillId="0" borderId="0" xfId="0" applyNumberFormat="1"/>
    <xf numFmtId="41" fontId="0" fillId="0" borderId="0" xfId="0" applyNumberFormat="1" applyBorder="1"/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0" fillId="0" borderId="7" xfId="0" applyBorder="1"/>
    <xf numFmtId="0" fontId="0" fillId="0" borderId="10" xfId="0" applyBorder="1"/>
    <xf numFmtId="0" fontId="0" fillId="0" borderId="1" xfId="0" applyBorder="1"/>
    <xf numFmtId="43" fontId="0" fillId="0" borderId="9" xfId="0" applyNumberFormat="1" applyBorder="1"/>
    <xf numFmtId="43" fontId="0" fillId="0" borderId="10" xfId="0" applyNumberFormat="1" applyBorder="1"/>
    <xf numFmtId="2" fontId="0" fillId="0" borderId="12" xfId="0" applyNumberFormat="1" applyBorder="1"/>
    <xf numFmtId="2" fontId="0" fillId="0" borderId="14" xfId="0" applyNumberFormat="1" applyBorder="1"/>
    <xf numFmtId="2" fontId="0" fillId="0" borderId="0" xfId="0" applyNumberFormat="1" applyBorder="1"/>
    <xf numFmtId="2" fontId="0" fillId="0" borderId="1" xfId="0" applyNumberFormat="1" applyBorder="1"/>
    <xf numFmtId="2" fontId="0" fillId="0" borderId="13" xfId="0" applyNumberFormat="1" applyBorder="1"/>
    <xf numFmtId="2" fontId="0" fillId="0" borderId="6" xfId="0" applyNumberFormat="1" applyBorder="1"/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41" fontId="0" fillId="0" borderId="9" xfId="0" applyNumberFormat="1" applyBorder="1"/>
    <xf numFmtId="41" fontId="0" fillId="0" borderId="10" xfId="0" applyNumberFormat="1" applyBorder="1"/>
    <xf numFmtId="41" fontId="0" fillId="0" borderId="7" xfId="0" applyNumberFormat="1" applyBorder="1"/>
    <xf numFmtId="43" fontId="0" fillId="0" borderId="7" xfId="0" applyNumberFormat="1" applyBorder="1"/>
    <xf numFmtId="41" fontId="0" fillId="0" borderId="5" xfId="0" applyNumberFormat="1" applyBorder="1"/>
    <xf numFmtId="41" fontId="0" fillId="0" borderId="13" xfId="0" applyNumberFormat="1" applyBorder="1"/>
    <xf numFmtId="41" fontId="0" fillId="0" borderId="6" xfId="0" applyNumberFormat="1" applyBorder="1"/>
    <xf numFmtId="43" fontId="0" fillId="0" borderId="5" xfId="0" applyNumberFormat="1" applyBorder="1"/>
    <xf numFmtId="43" fontId="0" fillId="0" borderId="13" xfId="0" applyNumberFormat="1" applyBorder="1"/>
    <xf numFmtId="43" fontId="0" fillId="0" borderId="6" xfId="0" applyNumberFormat="1" applyBorder="1"/>
    <xf numFmtId="43" fontId="0" fillId="0" borderId="4" xfId="0" applyNumberFormat="1" applyBorder="1"/>
    <xf numFmtId="43" fontId="0" fillId="0" borderId="11" xfId="0" applyNumberFormat="1" applyBorder="1"/>
    <xf numFmtId="41" fontId="0" fillId="0" borderId="4" xfId="0" applyNumberFormat="1" applyBorder="1"/>
    <xf numFmtId="10" fontId="0" fillId="0" borderId="0" xfId="0" applyNumberFormat="1"/>
    <xf numFmtId="41" fontId="1" fillId="0" borderId="0" xfId="0" applyNumberFormat="1" applyFont="1" applyAlignment="1">
      <alignment horizontal="right" wrapText="1"/>
    </xf>
    <xf numFmtId="10" fontId="0" fillId="0" borderId="9" xfId="0" applyNumberFormat="1" applyBorder="1"/>
    <xf numFmtId="10" fontId="0" fillId="0" borderId="10" xfId="0" applyNumberFormat="1" applyBorder="1"/>
    <xf numFmtId="41" fontId="0" fillId="0" borderId="0" xfId="0" applyNumberFormat="1" applyFill="1"/>
    <xf numFmtId="41" fontId="1" fillId="0" borderId="0" xfId="0" applyNumberFormat="1" applyFont="1" applyFill="1"/>
    <xf numFmtId="41" fontId="0" fillId="2" borderId="0" xfId="0" applyNumberFormat="1" applyFill="1" applyProtection="1">
      <protection locked="0"/>
    </xf>
    <xf numFmtId="41" fontId="0" fillId="2" borderId="1" xfId="0" applyNumberFormat="1" applyFill="1" applyBorder="1" applyProtection="1">
      <protection locked="0"/>
    </xf>
    <xf numFmtId="41" fontId="0" fillId="0" borderId="0" xfId="0" applyNumberFormat="1" applyFill="1" applyProtection="1">
      <protection locked="0"/>
    </xf>
    <xf numFmtId="41" fontId="0" fillId="0" borderId="0" xfId="0" applyNumberFormat="1" applyFill="1" applyBorder="1" applyProtection="1">
      <protection locked="0"/>
    </xf>
    <xf numFmtId="41" fontId="0" fillId="2" borderId="7" xfId="0" applyNumberFormat="1" applyFill="1" applyBorder="1"/>
    <xf numFmtId="41" fontId="0" fillId="2" borderId="9" xfId="0" applyNumberFormat="1" applyFill="1" applyBorder="1"/>
    <xf numFmtId="41" fontId="0" fillId="2" borderId="10" xfId="0" applyNumberFormat="1" applyFill="1" applyBorder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43" fontId="0" fillId="0" borderId="5" xfId="0" applyNumberFormat="1" applyBorder="1" applyAlignment="1">
      <alignment vertical="center"/>
    </xf>
    <xf numFmtId="43" fontId="0" fillId="0" borderId="6" xfId="0" applyNumberFormat="1" applyBorder="1" applyAlignment="1">
      <alignment vertical="center"/>
    </xf>
    <xf numFmtId="41" fontId="0" fillId="0" borderId="5" xfId="0" applyNumberFormat="1" applyBorder="1" applyAlignment="1">
      <alignment horizontal="left" vertical="center"/>
    </xf>
    <xf numFmtId="41" fontId="0" fillId="0" borderId="5" xfId="0" applyNumberFormat="1" applyBorder="1" applyAlignment="1">
      <alignment horizontal="left" vertical="center" wrapText="1"/>
    </xf>
    <xf numFmtId="43" fontId="0" fillId="0" borderId="5" xfId="0" applyNumberFormat="1" applyBorder="1" applyAlignment="1">
      <alignment horizontal="left" vertical="center" wrapText="1"/>
    </xf>
    <xf numFmtId="41" fontId="0" fillId="0" borderId="8" xfId="0" applyNumberFormat="1" applyBorder="1" applyAlignment="1"/>
    <xf numFmtId="41" fontId="0" fillId="0" borderId="3" xfId="0" applyNumberFormat="1" applyBorder="1" applyAlignment="1"/>
    <xf numFmtId="41" fontId="0" fillId="0" borderId="7" xfId="0" applyNumberFormat="1" applyBorder="1" applyAlignment="1"/>
    <xf numFmtId="41" fontId="0" fillId="0" borderId="15" xfId="0" applyNumberFormat="1" applyBorder="1" applyAlignment="1"/>
    <xf numFmtId="41" fontId="0" fillId="0" borderId="16" xfId="0" applyNumberFormat="1" applyBorder="1" applyAlignment="1"/>
    <xf numFmtId="41" fontId="0" fillId="0" borderId="10" xfId="0" applyNumberFormat="1" applyBorder="1" applyAlignment="1"/>
    <xf numFmtId="41" fontId="0" fillId="0" borderId="1" xfId="0" applyNumberFormat="1" applyBorder="1" applyAlignment="1"/>
    <xf numFmtId="41" fontId="0" fillId="0" borderId="14" xfId="0" applyNumberFormat="1" applyBorder="1" applyAlignment="1"/>
    <xf numFmtId="41" fontId="1" fillId="0" borderId="0" xfId="0" applyNumberFormat="1" applyFont="1" applyAlignment="1">
      <alignment horizontal="center"/>
    </xf>
    <xf numFmtId="41" fontId="0" fillId="0" borderId="0" xfId="0" applyNumberFormat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43" fontId="0" fillId="0" borderId="5" xfId="0" applyNumberFormat="1" applyBorder="1" applyAlignment="1">
      <alignment horizontal="center" vertical="center" wrapText="1"/>
    </xf>
    <xf numFmtId="43" fontId="0" fillId="0" borderId="13" xfId="0" applyNumberFormat="1" applyBorder="1" applyAlignment="1">
      <alignment horizontal="center" vertical="center" wrapText="1"/>
    </xf>
    <xf numFmtId="43" fontId="0" fillId="0" borderId="6" xfId="0" applyNumberFormat="1" applyBorder="1" applyAlignment="1">
      <alignment horizontal="center" vertical="center" wrapText="1"/>
    </xf>
    <xf numFmtId="41" fontId="0" fillId="0" borderId="5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41" fontId="0" fillId="0" borderId="6" xfId="0" applyNumberFormat="1" applyBorder="1" applyAlignment="1">
      <alignment horizontal="center" vertical="center"/>
    </xf>
    <xf numFmtId="41" fontId="0" fillId="0" borderId="5" xfId="0" applyNumberFormat="1" applyBorder="1" applyAlignment="1">
      <alignment horizontal="center" vertical="center" wrapText="1"/>
    </xf>
    <xf numFmtId="41" fontId="0" fillId="0" borderId="13" xfId="0" applyNumberFormat="1" applyBorder="1" applyAlignment="1">
      <alignment horizontal="center" vertical="center" wrapText="1"/>
    </xf>
    <xf numFmtId="41" fontId="0" fillId="0" borderId="6" xfId="0" applyNumberFormat="1" applyBorder="1" applyAlignment="1">
      <alignment horizontal="center" vertical="center" wrapText="1"/>
    </xf>
    <xf numFmtId="43" fontId="0" fillId="0" borderId="5" xfId="0" applyNumberFormat="1" applyBorder="1" applyAlignment="1">
      <alignment horizontal="right" vertical="center"/>
    </xf>
    <xf numFmtId="43" fontId="0" fillId="0" borderId="6" xfId="0" applyNumberForma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zoomScale="90" zoomScaleNormal="90" workbookViewId="0">
      <selection activeCell="O15" sqref="O15"/>
    </sheetView>
  </sheetViews>
  <sheetFormatPr defaultRowHeight="14.5" x14ac:dyDescent="0.35"/>
  <cols>
    <col min="1" max="1" width="12.7265625" style="1" customWidth="1"/>
    <col min="2" max="2" width="31.7265625" style="1" customWidth="1"/>
    <col min="3" max="11" width="10.7265625" style="1" customWidth="1"/>
    <col min="12" max="12" width="9.1796875" style="1"/>
  </cols>
  <sheetData>
    <row r="1" spans="1:11" x14ac:dyDescent="0.35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x14ac:dyDescent="0.35">
      <c r="A2" s="70" t="s">
        <v>33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x14ac:dyDescent="0.35">
      <c r="A3" s="71" t="s">
        <v>25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x14ac:dyDescent="0.35">
      <c r="A4" s="71" t="s">
        <v>36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6" spans="1:11" x14ac:dyDescent="0.35">
      <c r="C6" s="3" t="s">
        <v>8</v>
      </c>
      <c r="D6" s="3" t="s">
        <v>9</v>
      </c>
      <c r="E6" s="3" t="s">
        <v>10</v>
      </c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</row>
    <row r="7" spans="1:11" x14ac:dyDescent="0.35">
      <c r="A7" s="1" t="s">
        <v>0</v>
      </c>
      <c r="B7" s="1" t="s">
        <v>17</v>
      </c>
      <c r="C7" s="48">
        <v>130060</v>
      </c>
      <c r="D7" s="48">
        <v>223356</v>
      </c>
      <c r="E7" s="48">
        <v>194445</v>
      </c>
      <c r="F7" s="48">
        <v>170060</v>
      </c>
      <c r="G7" s="48">
        <v>105587</v>
      </c>
      <c r="H7" s="48">
        <v>106273</v>
      </c>
      <c r="I7" s="48">
        <v>181307</v>
      </c>
      <c r="J7" s="48">
        <v>87317</v>
      </c>
      <c r="K7" s="48">
        <v>86098</v>
      </c>
    </row>
    <row r="8" spans="1:11" x14ac:dyDescent="0.35">
      <c r="A8" s="1" t="s">
        <v>1</v>
      </c>
      <c r="B8" s="1" t="s">
        <v>18</v>
      </c>
      <c r="C8" s="48">
        <v>10303</v>
      </c>
      <c r="D8" s="48">
        <v>35538</v>
      </c>
      <c r="E8" s="48">
        <v>24806</v>
      </c>
      <c r="F8" s="48">
        <v>8348</v>
      </c>
      <c r="G8" s="48">
        <v>10662</v>
      </c>
      <c r="H8" s="48">
        <v>5273</v>
      </c>
      <c r="I8" s="48">
        <v>50164</v>
      </c>
      <c r="J8" s="48">
        <v>31238</v>
      </c>
      <c r="K8" s="48">
        <v>15135</v>
      </c>
    </row>
    <row r="9" spans="1:11" ht="29" x14ac:dyDescent="0.35">
      <c r="A9" s="1" t="s">
        <v>2</v>
      </c>
      <c r="B9" s="2" t="s">
        <v>19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</row>
    <row r="10" spans="1:11" ht="29" x14ac:dyDescent="0.35">
      <c r="A10" s="1" t="s">
        <v>3</v>
      </c>
      <c r="B10" s="2" t="s">
        <v>20</v>
      </c>
      <c r="C10" s="48">
        <v>40072</v>
      </c>
      <c r="D10" s="48">
        <v>2262</v>
      </c>
      <c r="E10" s="48">
        <v>19702</v>
      </c>
      <c r="F10" s="48">
        <v>3752</v>
      </c>
      <c r="G10" s="48">
        <v>3485</v>
      </c>
      <c r="H10" s="48">
        <v>6568</v>
      </c>
      <c r="I10" s="48">
        <v>5026</v>
      </c>
      <c r="J10" s="48">
        <v>41210</v>
      </c>
      <c r="K10" s="48">
        <v>14355</v>
      </c>
    </row>
    <row r="11" spans="1:11" x14ac:dyDescent="0.35">
      <c r="A11" s="1" t="s">
        <v>4</v>
      </c>
      <c r="B11" s="1" t="s">
        <v>21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</row>
    <row r="12" spans="1:11" ht="29" x14ac:dyDescent="0.35">
      <c r="A12" s="1" t="s">
        <v>5</v>
      </c>
      <c r="B12" s="2" t="s">
        <v>22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</row>
    <row r="13" spans="1:11" x14ac:dyDescent="0.35">
      <c r="A13" s="1" t="s">
        <v>6</v>
      </c>
      <c r="B13" s="2" t="s">
        <v>23</v>
      </c>
      <c r="C13" s="48">
        <v>5200</v>
      </c>
      <c r="D13" s="48">
        <v>8485</v>
      </c>
      <c r="E13" s="48">
        <v>16317</v>
      </c>
      <c r="F13" s="48">
        <v>10114</v>
      </c>
      <c r="G13" s="48">
        <v>5686</v>
      </c>
      <c r="H13" s="48">
        <v>4076</v>
      </c>
      <c r="I13" s="48">
        <v>4781</v>
      </c>
      <c r="J13" s="48">
        <v>7659</v>
      </c>
      <c r="K13" s="48">
        <v>37863</v>
      </c>
    </row>
    <row r="14" spans="1:11" x14ac:dyDescent="0.35">
      <c r="A14" s="1" t="s">
        <v>7</v>
      </c>
      <c r="B14" s="2" t="s">
        <v>24</v>
      </c>
      <c r="C14" s="49">
        <v>0</v>
      </c>
      <c r="D14" s="49">
        <v>0</v>
      </c>
      <c r="E14" s="49">
        <v>4428</v>
      </c>
      <c r="F14" s="49">
        <v>0</v>
      </c>
      <c r="G14" s="49"/>
      <c r="H14" s="49"/>
      <c r="I14" s="49"/>
      <c r="J14" s="49"/>
      <c r="K14" s="49"/>
    </row>
    <row r="15" spans="1:11" ht="15" thickBot="1" x14ac:dyDescent="0.4">
      <c r="B15" s="6" t="s">
        <v>30</v>
      </c>
      <c r="C15" s="9">
        <f>SUM(C7:C14)</f>
        <v>185635</v>
      </c>
      <c r="D15" s="9">
        <f t="shared" ref="D15:K15" si="0">SUM(D7:D14)</f>
        <v>269641</v>
      </c>
      <c r="E15" s="9">
        <f t="shared" si="0"/>
        <v>259698</v>
      </c>
      <c r="F15" s="9">
        <f t="shared" si="0"/>
        <v>192274</v>
      </c>
      <c r="G15" s="9">
        <f t="shared" si="0"/>
        <v>125420</v>
      </c>
      <c r="H15" s="9">
        <f t="shared" si="0"/>
        <v>122190</v>
      </c>
      <c r="I15" s="9">
        <f t="shared" si="0"/>
        <v>241278</v>
      </c>
      <c r="J15" s="9">
        <f t="shared" si="0"/>
        <v>167424</v>
      </c>
      <c r="K15" s="9">
        <f t="shared" si="0"/>
        <v>153451</v>
      </c>
    </row>
    <row r="16" spans="1:11" ht="15" thickTop="1" x14ac:dyDescent="0.35"/>
    <row r="18" spans="1:11" x14ac:dyDescent="0.35">
      <c r="A18" s="1" t="s">
        <v>26</v>
      </c>
      <c r="B18" s="1" t="s">
        <v>27</v>
      </c>
      <c r="C18" s="48">
        <v>32442</v>
      </c>
      <c r="D18" s="48">
        <v>59838</v>
      </c>
      <c r="E18" s="48">
        <v>72137</v>
      </c>
      <c r="F18" s="48">
        <v>41792</v>
      </c>
      <c r="G18" s="48">
        <v>47084</v>
      </c>
      <c r="H18" s="48">
        <v>45626</v>
      </c>
      <c r="I18" s="48">
        <v>80230</v>
      </c>
      <c r="J18" s="48">
        <v>61798</v>
      </c>
      <c r="K18" s="48">
        <v>42838</v>
      </c>
    </row>
    <row r="19" spans="1:11" ht="46.5" customHeight="1" x14ac:dyDescent="0.35">
      <c r="A19" s="1" t="s">
        <v>28</v>
      </c>
      <c r="B19" s="4" t="s">
        <v>29</v>
      </c>
      <c r="C19" s="49"/>
      <c r="D19" s="49"/>
      <c r="E19" s="49"/>
      <c r="F19" s="49"/>
      <c r="G19" s="49"/>
      <c r="H19" s="49"/>
      <c r="I19" s="49"/>
      <c r="J19" s="49"/>
      <c r="K19" s="49"/>
    </row>
    <row r="20" spans="1:11" ht="15" thickBot="1" x14ac:dyDescent="0.4">
      <c r="B20" s="6" t="s">
        <v>31</v>
      </c>
      <c r="C20" s="9">
        <f>C18-C19</f>
        <v>32442</v>
      </c>
      <c r="D20" s="9">
        <f t="shared" ref="D20:K20" si="1">D18-D19</f>
        <v>59838</v>
      </c>
      <c r="E20" s="9">
        <f t="shared" si="1"/>
        <v>72137</v>
      </c>
      <c r="F20" s="9">
        <f t="shared" si="1"/>
        <v>41792</v>
      </c>
      <c r="G20" s="9">
        <f t="shared" si="1"/>
        <v>47084</v>
      </c>
      <c r="H20" s="9">
        <f t="shared" si="1"/>
        <v>45626</v>
      </c>
      <c r="I20" s="9">
        <f t="shared" si="1"/>
        <v>80230</v>
      </c>
      <c r="J20" s="9">
        <f t="shared" si="1"/>
        <v>61798</v>
      </c>
      <c r="K20" s="9">
        <f t="shared" si="1"/>
        <v>42838</v>
      </c>
    </row>
    <row r="21" spans="1:11" ht="15" thickTop="1" x14ac:dyDescent="0.35"/>
    <row r="22" spans="1:11" x14ac:dyDescent="0.35">
      <c r="B22" s="7" t="s">
        <v>34</v>
      </c>
      <c r="C22" s="8">
        <f t="shared" ref="C22:K22" si="2">ROUND(C15/C20,2)</f>
        <v>5.72</v>
      </c>
      <c r="D22" s="8">
        <f t="shared" si="2"/>
        <v>4.51</v>
      </c>
      <c r="E22" s="8">
        <f t="shared" si="2"/>
        <v>3.6</v>
      </c>
      <c r="F22" s="8">
        <f t="shared" si="2"/>
        <v>4.5999999999999996</v>
      </c>
      <c r="G22" s="8">
        <f t="shared" si="2"/>
        <v>2.66</v>
      </c>
      <c r="H22" s="8">
        <f t="shared" si="2"/>
        <v>2.68</v>
      </c>
      <c r="I22" s="8">
        <f t="shared" si="2"/>
        <v>3.01</v>
      </c>
      <c r="J22" s="8">
        <f t="shared" si="2"/>
        <v>2.71</v>
      </c>
      <c r="K22" s="8">
        <f t="shared" si="2"/>
        <v>3.58</v>
      </c>
    </row>
    <row r="24" spans="1:11" x14ac:dyDescent="0.35">
      <c r="B24" s="7" t="s">
        <v>35</v>
      </c>
      <c r="C24" s="10">
        <f>IF(C22&lt;1,0,IF(C22&gt;=2,12,(7.2+((C22-1)*4.8))))</f>
        <v>12</v>
      </c>
      <c r="D24" s="10">
        <f t="shared" ref="D24:K24" si="3">IF(D22&lt;1,0,IF(D22&gt;=2,12,(7.2+((D22-1)*4.8))))</f>
        <v>12</v>
      </c>
      <c r="E24" s="10">
        <f t="shared" si="3"/>
        <v>12</v>
      </c>
      <c r="F24" s="10">
        <f t="shared" si="3"/>
        <v>12</v>
      </c>
      <c r="G24" s="10">
        <f t="shared" si="3"/>
        <v>12</v>
      </c>
      <c r="H24" s="10">
        <f t="shared" si="3"/>
        <v>12</v>
      </c>
      <c r="I24" s="10">
        <f t="shared" si="3"/>
        <v>12</v>
      </c>
      <c r="J24" s="10">
        <f t="shared" si="3"/>
        <v>12</v>
      </c>
      <c r="K24" s="10">
        <f t="shared" si="3"/>
        <v>12</v>
      </c>
    </row>
  </sheetData>
  <sheetProtection sheet="1" objects="1" scenarios="1"/>
  <mergeCells count="4">
    <mergeCell ref="A1:K1"/>
    <mergeCell ref="A3:K3"/>
    <mergeCell ref="A2:K2"/>
    <mergeCell ref="A4:K4"/>
  </mergeCells>
  <pageMargins left="0.7" right="0.7" top="0.75" bottom="0.75" header="0.3" footer="0.3"/>
  <pageSetup scale="86" orientation="landscape" blackAndWhite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5"/>
  <sheetViews>
    <sheetView workbookViewId="0">
      <selection activeCell="H6" sqref="H6"/>
    </sheetView>
  </sheetViews>
  <sheetFormatPr defaultRowHeight="14.5" x14ac:dyDescent="0.35"/>
  <cols>
    <col min="1" max="3" width="12.7265625" style="1" customWidth="1"/>
    <col min="4" max="5" width="12.7265625" style="8" customWidth="1"/>
    <col min="6" max="6" width="9.1796875" style="1"/>
  </cols>
  <sheetData>
    <row r="1" spans="1:5" x14ac:dyDescent="0.35">
      <c r="A1" s="70" t="s">
        <v>98</v>
      </c>
      <c r="B1" s="70"/>
      <c r="C1" s="70"/>
      <c r="D1" s="70"/>
      <c r="E1" s="70"/>
    </row>
    <row r="3" spans="1:5" ht="63" customHeight="1" x14ac:dyDescent="0.35">
      <c r="A3" s="59" t="s">
        <v>77</v>
      </c>
      <c r="B3" s="60" t="s">
        <v>92</v>
      </c>
      <c r="C3" s="59" t="s">
        <v>90</v>
      </c>
      <c r="D3" s="61" t="s">
        <v>84</v>
      </c>
      <c r="E3" s="61" t="s">
        <v>91</v>
      </c>
    </row>
    <row r="4" spans="1:5" x14ac:dyDescent="0.35">
      <c r="A4" s="33" t="s">
        <v>8</v>
      </c>
      <c r="B4" s="31">
        <f>'PHA Score - FASS'!B6</f>
        <v>1200</v>
      </c>
      <c r="C4" s="31">
        <v>100</v>
      </c>
      <c r="D4" s="32">
        <f>'Score Summary - MASS'!I5</f>
        <v>22</v>
      </c>
      <c r="E4" s="36">
        <f>ROUND(C4*D4,2)</f>
        <v>2200</v>
      </c>
    </row>
    <row r="5" spans="1:5" x14ac:dyDescent="0.35">
      <c r="A5" s="34" t="s">
        <v>9</v>
      </c>
      <c r="B5" s="34">
        <f>'PHA Score - FASS'!B7</f>
        <v>2400</v>
      </c>
      <c r="C5" s="29">
        <v>200</v>
      </c>
      <c r="D5" s="18">
        <f>'Score Summary - MASS'!I6</f>
        <v>25</v>
      </c>
      <c r="E5" s="37">
        <f t="shared" ref="E5:E12" si="0">ROUND(C5*D5,2)</f>
        <v>5000</v>
      </c>
    </row>
    <row r="6" spans="1:5" x14ac:dyDescent="0.35">
      <c r="A6" s="34" t="s">
        <v>10</v>
      </c>
      <c r="B6" s="34">
        <f>'PHA Score - FASS'!B8</f>
        <v>600</v>
      </c>
      <c r="C6" s="29">
        <v>50</v>
      </c>
      <c r="D6" s="18">
        <f>'Score Summary - MASS'!I7</f>
        <v>5</v>
      </c>
      <c r="E6" s="37">
        <f t="shared" si="0"/>
        <v>250</v>
      </c>
    </row>
    <row r="7" spans="1:5" x14ac:dyDescent="0.35">
      <c r="A7" s="34" t="s">
        <v>11</v>
      </c>
      <c r="B7" s="34">
        <f>'PHA Score - FASS'!B9</f>
        <v>1500</v>
      </c>
      <c r="C7" s="29">
        <v>125</v>
      </c>
      <c r="D7" s="18">
        <f>'Score Summary - MASS'!I8</f>
        <v>23</v>
      </c>
      <c r="E7" s="37">
        <f t="shared" si="0"/>
        <v>2875</v>
      </c>
    </row>
    <row r="8" spans="1:5" x14ac:dyDescent="0.35">
      <c r="A8" s="34" t="s">
        <v>12</v>
      </c>
      <c r="B8" s="34">
        <f>'PHA Score - FASS'!B10</f>
        <v>3000</v>
      </c>
      <c r="C8" s="29">
        <v>250</v>
      </c>
      <c r="D8" s="18">
        <f>'Score Summary - MASS'!I9</f>
        <v>23</v>
      </c>
      <c r="E8" s="37">
        <f t="shared" si="0"/>
        <v>5750</v>
      </c>
    </row>
    <row r="9" spans="1:5" x14ac:dyDescent="0.35">
      <c r="A9" s="34" t="s">
        <v>13</v>
      </c>
      <c r="B9" s="34">
        <f>'PHA Score - FASS'!B11</f>
        <v>600</v>
      </c>
      <c r="C9" s="29">
        <v>50</v>
      </c>
      <c r="D9" s="18">
        <f>'Score Summary - MASS'!I10</f>
        <v>16</v>
      </c>
      <c r="E9" s="37">
        <f t="shared" si="0"/>
        <v>800</v>
      </c>
    </row>
    <row r="10" spans="1:5" x14ac:dyDescent="0.35">
      <c r="A10" s="34" t="s">
        <v>14</v>
      </c>
      <c r="B10" s="34">
        <f>'PHA Score - FASS'!B12</f>
        <v>1500</v>
      </c>
      <c r="C10" s="29">
        <v>125</v>
      </c>
      <c r="D10" s="18">
        <f>'Score Summary - MASS'!I11</f>
        <v>20</v>
      </c>
      <c r="E10" s="37">
        <f t="shared" si="0"/>
        <v>2500</v>
      </c>
    </row>
    <row r="11" spans="1:5" x14ac:dyDescent="0.35">
      <c r="A11" s="34" t="s">
        <v>15</v>
      </c>
      <c r="B11" s="34">
        <f>'PHA Score - FASS'!B13</f>
        <v>2940</v>
      </c>
      <c r="C11" s="29">
        <v>245</v>
      </c>
      <c r="D11" s="18">
        <f>'Score Summary - MASS'!I12</f>
        <v>16</v>
      </c>
      <c r="E11" s="37">
        <f t="shared" si="0"/>
        <v>3920</v>
      </c>
    </row>
    <row r="12" spans="1:5" x14ac:dyDescent="0.35">
      <c r="A12" s="35" t="s">
        <v>16</v>
      </c>
      <c r="B12" s="29">
        <f>'PHA Score - FASS'!B14</f>
        <v>1596</v>
      </c>
      <c r="C12" s="30">
        <v>133</v>
      </c>
      <c r="D12" s="19">
        <f>'Score Summary - MASS'!I13</f>
        <v>16</v>
      </c>
      <c r="E12" s="38">
        <f t="shared" si="0"/>
        <v>2128</v>
      </c>
    </row>
    <row r="13" spans="1:5" x14ac:dyDescent="0.35">
      <c r="A13" s="62" t="s">
        <v>93</v>
      </c>
      <c r="B13" s="63"/>
      <c r="C13" s="41">
        <f>SUM(C4:C12)</f>
        <v>1278</v>
      </c>
      <c r="D13" s="40"/>
      <c r="E13" s="39">
        <f>SUM(E4:E12)</f>
        <v>25423</v>
      </c>
    </row>
    <row r="14" spans="1:5" x14ac:dyDescent="0.35">
      <c r="A14" s="64" t="s">
        <v>94</v>
      </c>
      <c r="B14" s="65"/>
      <c r="C14" s="65"/>
      <c r="D14" s="66"/>
      <c r="E14" s="85">
        <f>ROUND(E13/C13,2)</f>
        <v>19.89</v>
      </c>
    </row>
    <row r="15" spans="1:5" x14ac:dyDescent="0.35">
      <c r="A15" s="67" t="s">
        <v>128</v>
      </c>
      <c r="B15" s="68"/>
      <c r="C15" s="68"/>
      <c r="D15" s="69"/>
      <c r="E15" s="86"/>
    </row>
  </sheetData>
  <sheetProtection algorithmName="SHA-512" hashValue="4rUQsnKeK8kQvIJNWY9yzulnZpXXP6TtQ1bCng0/HPVGSnfhbQ6wo4ZN9gjwdOKh7rIit7J7MAeGrKIfYjHniQ==" saltValue="O7asI5f6hBzhlTybigqWGQ==" spinCount="100000" sheet="1" objects="1" scenarios="1"/>
  <mergeCells count="2">
    <mergeCell ref="E14:E15"/>
    <mergeCell ref="A1:E1"/>
  </mergeCells>
  <pageMargins left="0.7" right="0.7" top="0.75" bottom="0.75" header="0.3" footer="0.3"/>
  <pageSetup scale="86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2"/>
  <sheetViews>
    <sheetView topLeftCell="B1" zoomScaleNormal="100" workbookViewId="0">
      <selection activeCell="C9" sqref="C9"/>
    </sheetView>
  </sheetViews>
  <sheetFormatPr defaultRowHeight="14.5" x14ac:dyDescent="0.35"/>
  <cols>
    <col min="1" max="1" width="12.7265625" style="1" customWidth="1"/>
    <col min="2" max="2" width="31.7265625" style="1" customWidth="1"/>
    <col min="3" max="11" width="10.7265625" style="1" customWidth="1"/>
    <col min="12" max="12" width="9.1796875" style="1"/>
  </cols>
  <sheetData>
    <row r="1" spans="1:11" x14ac:dyDescent="0.35">
      <c r="A1" s="70" t="s">
        <v>37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x14ac:dyDescent="0.35">
      <c r="A2" s="70" t="s">
        <v>38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x14ac:dyDescent="0.35">
      <c r="A3" s="71" t="s">
        <v>39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x14ac:dyDescent="0.35">
      <c r="A4" s="71" t="s">
        <v>40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6" spans="1:11" x14ac:dyDescent="0.35">
      <c r="C6" s="3" t="s">
        <v>8</v>
      </c>
      <c r="D6" s="3" t="s">
        <v>9</v>
      </c>
      <c r="E6" s="3" t="s">
        <v>10</v>
      </c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</row>
    <row r="7" spans="1:11" x14ac:dyDescent="0.35">
      <c r="A7" s="1" t="s">
        <v>0</v>
      </c>
      <c r="B7" s="1" t="s">
        <v>17</v>
      </c>
      <c r="C7" s="50">
        <f>'Quick Ratio'!C7</f>
        <v>130060</v>
      </c>
      <c r="D7" s="50">
        <f>'Quick Ratio'!D7</f>
        <v>223356</v>
      </c>
      <c r="E7" s="50">
        <f>'Quick Ratio'!E7</f>
        <v>194445</v>
      </c>
      <c r="F7" s="50">
        <f>'Quick Ratio'!F7</f>
        <v>170060</v>
      </c>
      <c r="G7" s="50">
        <f>'Quick Ratio'!G7</f>
        <v>105587</v>
      </c>
      <c r="H7" s="50">
        <f>'Quick Ratio'!H7</f>
        <v>106273</v>
      </c>
      <c r="I7" s="50">
        <f>'Quick Ratio'!I7</f>
        <v>181307</v>
      </c>
      <c r="J7" s="50">
        <f>'Quick Ratio'!J7</f>
        <v>87317</v>
      </c>
      <c r="K7" s="50">
        <f>'Quick Ratio'!K7</f>
        <v>86098</v>
      </c>
    </row>
    <row r="8" spans="1:11" x14ac:dyDescent="0.35">
      <c r="A8" s="1" t="s">
        <v>1</v>
      </c>
      <c r="B8" s="1" t="s">
        <v>18</v>
      </c>
      <c r="C8" s="50">
        <f>'Quick Ratio'!C8</f>
        <v>10303</v>
      </c>
      <c r="D8" s="50">
        <f>'Quick Ratio'!D8</f>
        <v>35538</v>
      </c>
      <c r="E8" s="50">
        <f>'Quick Ratio'!E8</f>
        <v>24806</v>
      </c>
      <c r="F8" s="50">
        <f>'Quick Ratio'!F8</f>
        <v>8348</v>
      </c>
      <c r="G8" s="50">
        <f>'Quick Ratio'!G8</f>
        <v>10662</v>
      </c>
      <c r="H8" s="50">
        <f>'Quick Ratio'!H8</f>
        <v>5273</v>
      </c>
      <c r="I8" s="50">
        <f>'Quick Ratio'!I8</f>
        <v>50164</v>
      </c>
      <c r="J8" s="50">
        <f>'Quick Ratio'!J8</f>
        <v>31238</v>
      </c>
      <c r="K8" s="50">
        <f>'Quick Ratio'!K8</f>
        <v>15135</v>
      </c>
    </row>
    <row r="9" spans="1:11" ht="29" x14ac:dyDescent="0.35">
      <c r="A9" s="1" t="s">
        <v>2</v>
      </c>
      <c r="B9" s="2" t="s">
        <v>19</v>
      </c>
      <c r="C9" s="50">
        <f>'Quick Ratio'!C9</f>
        <v>0</v>
      </c>
      <c r="D9" s="50">
        <f>'Quick Ratio'!D9</f>
        <v>0</v>
      </c>
      <c r="E9" s="50">
        <f>'Quick Ratio'!E9</f>
        <v>0</v>
      </c>
      <c r="F9" s="50">
        <f>'Quick Ratio'!F9</f>
        <v>0</v>
      </c>
      <c r="G9" s="50">
        <f>'Quick Ratio'!G9</f>
        <v>0</v>
      </c>
      <c r="H9" s="50">
        <f>'Quick Ratio'!H9</f>
        <v>0</v>
      </c>
      <c r="I9" s="50">
        <f>'Quick Ratio'!I9</f>
        <v>0</v>
      </c>
      <c r="J9" s="50">
        <f>'Quick Ratio'!J9</f>
        <v>0</v>
      </c>
      <c r="K9" s="50">
        <f>'Quick Ratio'!K9</f>
        <v>0</v>
      </c>
    </row>
    <row r="10" spans="1:11" ht="29" x14ac:dyDescent="0.35">
      <c r="A10" s="1" t="s">
        <v>3</v>
      </c>
      <c r="B10" s="2" t="s">
        <v>20</v>
      </c>
      <c r="C10" s="50">
        <f>'Quick Ratio'!C10</f>
        <v>40072</v>
      </c>
      <c r="D10" s="50">
        <f>'Quick Ratio'!D10</f>
        <v>2262</v>
      </c>
      <c r="E10" s="50">
        <f>'Quick Ratio'!E10</f>
        <v>19702</v>
      </c>
      <c r="F10" s="50">
        <f>'Quick Ratio'!F10</f>
        <v>3752</v>
      </c>
      <c r="G10" s="50">
        <f>'Quick Ratio'!G10</f>
        <v>3485</v>
      </c>
      <c r="H10" s="50">
        <f>'Quick Ratio'!H10</f>
        <v>6568</v>
      </c>
      <c r="I10" s="50">
        <f>'Quick Ratio'!I10</f>
        <v>5026</v>
      </c>
      <c r="J10" s="50">
        <f>'Quick Ratio'!J10</f>
        <v>41210</v>
      </c>
      <c r="K10" s="50">
        <f>'Quick Ratio'!K10</f>
        <v>14355</v>
      </c>
    </row>
    <row r="11" spans="1:11" x14ac:dyDescent="0.35">
      <c r="A11" s="1" t="s">
        <v>4</v>
      </c>
      <c r="B11" s="1" t="s">
        <v>21</v>
      </c>
      <c r="C11" s="50">
        <f>'Quick Ratio'!C11</f>
        <v>0</v>
      </c>
      <c r="D11" s="50">
        <f>'Quick Ratio'!D11</f>
        <v>0</v>
      </c>
      <c r="E11" s="50">
        <f>'Quick Ratio'!E11</f>
        <v>0</v>
      </c>
      <c r="F11" s="50">
        <f>'Quick Ratio'!F11</f>
        <v>0</v>
      </c>
      <c r="G11" s="50">
        <f>'Quick Ratio'!G11</f>
        <v>0</v>
      </c>
      <c r="H11" s="50">
        <f>'Quick Ratio'!H11</f>
        <v>0</v>
      </c>
      <c r="I11" s="50">
        <f>'Quick Ratio'!I11</f>
        <v>0</v>
      </c>
      <c r="J11" s="50">
        <f>'Quick Ratio'!J11</f>
        <v>0</v>
      </c>
      <c r="K11" s="50">
        <f>'Quick Ratio'!K11</f>
        <v>0</v>
      </c>
    </row>
    <row r="12" spans="1:11" ht="29" x14ac:dyDescent="0.35">
      <c r="A12" s="1" t="s">
        <v>5</v>
      </c>
      <c r="B12" s="2" t="s">
        <v>22</v>
      </c>
      <c r="C12" s="50">
        <f>'Quick Ratio'!C12</f>
        <v>0</v>
      </c>
      <c r="D12" s="50">
        <f>'Quick Ratio'!D12</f>
        <v>0</v>
      </c>
      <c r="E12" s="50">
        <f>'Quick Ratio'!E12</f>
        <v>0</v>
      </c>
      <c r="F12" s="50">
        <f>'Quick Ratio'!F12</f>
        <v>0</v>
      </c>
      <c r="G12" s="50">
        <f>'Quick Ratio'!G12</f>
        <v>0</v>
      </c>
      <c r="H12" s="50">
        <f>'Quick Ratio'!H12</f>
        <v>0</v>
      </c>
      <c r="I12" s="50">
        <f>'Quick Ratio'!I12</f>
        <v>0</v>
      </c>
      <c r="J12" s="50">
        <f>'Quick Ratio'!J12</f>
        <v>0</v>
      </c>
      <c r="K12" s="50">
        <f>'Quick Ratio'!K12</f>
        <v>0</v>
      </c>
    </row>
    <row r="13" spans="1:11" x14ac:dyDescent="0.35">
      <c r="A13" s="1" t="s">
        <v>6</v>
      </c>
      <c r="B13" s="2" t="s">
        <v>23</v>
      </c>
      <c r="C13" s="50">
        <f>'Quick Ratio'!C13</f>
        <v>5200</v>
      </c>
      <c r="D13" s="50">
        <f>'Quick Ratio'!D13</f>
        <v>8485</v>
      </c>
      <c r="E13" s="50">
        <f>'Quick Ratio'!E13</f>
        <v>16317</v>
      </c>
      <c r="F13" s="50">
        <f>'Quick Ratio'!F13</f>
        <v>10114</v>
      </c>
      <c r="G13" s="50">
        <f>'Quick Ratio'!G13</f>
        <v>5686</v>
      </c>
      <c r="H13" s="50">
        <f>'Quick Ratio'!H13</f>
        <v>4076</v>
      </c>
      <c r="I13" s="50">
        <f>'Quick Ratio'!I13</f>
        <v>4781</v>
      </c>
      <c r="J13" s="50">
        <f>'Quick Ratio'!J13</f>
        <v>7659</v>
      </c>
      <c r="K13" s="50">
        <f>'Quick Ratio'!K13</f>
        <v>37863</v>
      </c>
    </row>
    <row r="14" spans="1:11" s="1" customFormat="1" x14ac:dyDescent="0.35">
      <c r="A14" s="1" t="s">
        <v>7</v>
      </c>
      <c r="B14" s="2" t="s">
        <v>24</v>
      </c>
      <c r="C14" s="51">
        <f>'Quick Ratio'!C14</f>
        <v>0</v>
      </c>
      <c r="D14" s="51">
        <f>'Quick Ratio'!D14</f>
        <v>0</v>
      </c>
      <c r="E14" s="51">
        <f>'Quick Ratio'!E14</f>
        <v>4428</v>
      </c>
      <c r="F14" s="51">
        <f>'Quick Ratio'!F14</f>
        <v>0</v>
      </c>
      <c r="G14" s="51">
        <f>'Quick Ratio'!G14</f>
        <v>0</v>
      </c>
      <c r="H14" s="51">
        <f>'Quick Ratio'!H14</f>
        <v>0</v>
      </c>
      <c r="I14" s="51">
        <f>'Quick Ratio'!I14</f>
        <v>0</v>
      </c>
      <c r="J14" s="51">
        <f>'Quick Ratio'!J14</f>
        <v>0</v>
      </c>
      <c r="K14" s="51">
        <f>'Quick Ratio'!K14</f>
        <v>0</v>
      </c>
    </row>
    <row r="15" spans="1:11" s="1" customFormat="1" x14ac:dyDescent="0.35">
      <c r="A15" s="1" t="s">
        <v>41</v>
      </c>
      <c r="B15" s="2"/>
      <c r="C15" s="51"/>
      <c r="D15" s="51"/>
      <c r="E15" s="51"/>
      <c r="F15" s="51"/>
      <c r="G15" s="51"/>
      <c r="H15" s="51"/>
      <c r="I15" s="51"/>
      <c r="J15" s="51"/>
      <c r="K15" s="51"/>
    </row>
    <row r="16" spans="1:11" s="1" customFormat="1" x14ac:dyDescent="0.35">
      <c r="A16" s="1" t="s">
        <v>26</v>
      </c>
      <c r="B16" s="1" t="s">
        <v>27</v>
      </c>
      <c r="C16" s="50">
        <f>'Quick Ratio'!C18</f>
        <v>32442</v>
      </c>
      <c r="D16" s="50">
        <f>'Quick Ratio'!D18</f>
        <v>59838</v>
      </c>
      <c r="E16" s="50">
        <f>'Quick Ratio'!E18</f>
        <v>72137</v>
      </c>
      <c r="F16" s="50">
        <f>'Quick Ratio'!F18</f>
        <v>41792</v>
      </c>
      <c r="G16" s="50">
        <f>'Quick Ratio'!G18</f>
        <v>47084</v>
      </c>
      <c r="H16" s="50">
        <f>'Quick Ratio'!H18</f>
        <v>45626</v>
      </c>
      <c r="I16" s="50">
        <f>'Quick Ratio'!I18</f>
        <v>80230</v>
      </c>
      <c r="J16" s="50">
        <f>'Quick Ratio'!J18</f>
        <v>61798</v>
      </c>
      <c r="K16" s="50">
        <f>'Quick Ratio'!K18</f>
        <v>42838</v>
      </c>
    </row>
    <row r="17" spans="1:11" s="1" customFormat="1" ht="15" thickBot="1" x14ac:dyDescent="0.4">
      <c r="B17" s="6" t="s">
        <v>42</v>
      </c>
      <c r="C17" s="9">
        <f>SUM(C7:C14)-C16</f>
        <v>153193</v>
      </c>
      <c r="D17" s="9">
        <f t="shared" ref="D17:K17" si="0">SUM(D7:D14)-D16</f>
        <v>209803</v>
      </c>
      <c r="E17" s="9">
        <f t="shared" si="0"/>
        <v>187561</v>
      </c>
      <c r="F17" s="9">
        <f t="shared" si="0"/>
        <v>150482</v>
      </c>
      <c r="G17" s="9">
        <f t="shared" si="0"/>
        <v>78336</v>
      </c>
      <c r="H17" s="9">
        <f t="shared" si="0"/>
        <v>76564</v>
      </c>
      <c r="I17" s="9">
        <f t="shared" si="0"/>
        <v>161048</v>
      </c>
      <c r="J17" s="9">
        <f t="shared" si="0"/>
        <v>105626</v>
      </c>
      <c r="K17" s="9">
        <f t="shared" si="0"/>
        <v>110613</v>
      </c>
    </row>
    <row r="18" spans="1:11" s="1" customFormat="1" ht="15" thickTop="1" x14ac:dyDescent="0.35"/>
    <row r="19" spans="1:11" s="1" customFormat="1" x14ac:dyDescent="0.35">
      <c r="A19" s="1" t="s">
        <v>43</v>
      </c>
      <c r="B19" s="1" t="s">
        <v>44</v>
      </c>
      <c r="C19" s="48">
        <v>468300</v>
      </c>
      <c r="D19" s="48">
        <v>603568</v>
      </c>
      <c r="E19" s="48">
        <v>1001748</v>
      </c>
      <c r="F19" s="48">
        <v>330082</v>
      </c>
      <c r="G19" s="48">
        <v>427783</v>
      </c>
      <c r="H19" s="48">
        <v>165925</v>
      </c>
      <c r="I19" s="48">
        <v>450154</v>
      </c>
      <c r="J19" s="48">
        <v>398366</v>
      </c>
      <c r="K19" s="48">
        <v>307946</v>
      </c>
    </row>
    <row r="20" spans="1:11" s="1" customFormat="1" x14ac:dyDescent="0.35">
      <c r="A20" s="1" t="s">
        <v>41</v>
      </c>
      <c r="B20" s="1" t="s">
        <v>99</v>
      </c>
      <c r="C20" s="50">
        <f>C42</f>
        <v>0</v>
      </c>
      <c r="D20" s="50">
        <f t="shared" ref="D20:K20" si="1">D42</f>
        <v>0</v>
      </c>
      <c r="E20" s="50">
        <f t="shared" si="1"/>
        <v>0</v>
      </c>
      <c r="F20" s="50">
        <f t="shared" si="1"/>
        <v>0</v>
      </c>
      <c r="G20" s="50">
        <f t="shared" si="1"/>
        <v>0</v>
      </c>
      <c r="H20" s="50">
        <f t="shared" si="1"/>
        <v>0</v>
      </c>
      <c r="I20" s="50">
        <f t="shared" si="1"/>
        <v>0</v>
      </c>
      <c r="J20" s="50">
        <f t="shared" si="1"/>
        <v>0</v>
      </c>
      <c r="K20" s="50">
        <f t="shared" si="1"/>
        <v>0</v>
      </c>
    </row>
    <row r="21" spans="1:11" s="1" customFormat="1" x14ac:dyDescent="0.35">
      <c r="A21" s="1" t="s">
        <v>45</v>
      </c>
      <c r="B21" s="1" t="s">
        <v>46</v>
      </c>
      <c r="C21" s="48"/>
      <c r="D21" s="48"/>
      <c r="E21" s="48"/>
      <c r="F21" s="48"/>
      <c r="G21" s="48"/>
      <c r="H21" s="48"/>
      <c r="I21" s="48"/>
      <c r="J21" s="48"/>
      <c r="K21" s="48"/>
    </row>
    <row r="22" spans="1:11" s="1" customFormat="1" x14ac:dyDescent="0.35">
      <c r="A22" s="1" t="s">
        <v>47</v>
      </c>
      <c r="B22" s="1" t="s">
        <v>48</v>
      </c>
      <c r="C22" s="48"/>
      <c r="D22" s="48"/>
      <c r="E22" s="48"/>
      <c r="F22" s="48"/>
      <c r="G22" s="48"/>
      <c r="H22" s="48"/>
      <c r="I22" s="48"/>
      <c r="J22" s="48"/>
      <c r="K22" s="48"/>
    </row>
    <row r="23" spans="1:11" s="1" customFormat="1" x14ac:dyDescent="0.35">
      <c r="A23" s="1" t="s">
        <v>49</v>
      </c>
      <c r="B23" s="1" t="s">
        <v>50</v>
      </c>
      <c r="C23" s="49"/>
      <c r="D23" s="49"/>
      <c r="E23" s="49"/>
      <c r="F23" s="49"/>
      <c r="G23" s="49"/>
      <c r="H23" s="49"/>
      <c r="I23" s="49"/>
      <c r="J23" s="49"/>
      <c r="K23" s="49"/>
    </row>
    <row r="24" spans="1:11" s="1" customFormat="1" x14ac:dyDescent="0.35">
      <c r="B24" s="6" t="s">
        <v>51</v>
      </c>
      <c r="C24" s="11">
        <f>SUM(C19:C23)-C20</f>
        <v>468300</v>
      </c>
      <c r="D24" s="11">
        <f t="shared" ref="D24:K24" si="2">SUM(D19:D23)-D20</f>
        <v>603568</v>
      </c>
      <c r="E24" s="11">
        <f t="shared" si="2"/>
        <v>1001748</v>
      </c>
      <c r="F24" s="11">
        <f t="shared" si="2"/>
        <v>330082</v>
      </c>
      <c r="G24" s="11">
        <f t="shared" si="2"/>
        <v>427783</v>
      </c>
      <c r="H24" s="11">
        <f t="shared" si="2"/>
        <v>165925</v>
      </c>
      <c r="I24" s="11">
        <f t="shared" si="2"/>
        <v>450154</v>
      </c>
      <c r="J24" s="11">
        <f t="shared" si="2"/>
        <v>398366</v>
      </c>
      <c r="K24" s="11">
        <f t="shared" si="2"/>
        <v>307946</v>
      </c>
    </row>
    <row r="25" spans="1:11" s="1" customFormat="1" ht="15" thickBot="1" x14ac:dyDescent="0.4">
      <c r="B25" s="6" t="s">
        <v>60</v>
      </c>
      <c r="C25" s="9">
        <f>C24/12</f>
        <v>39025</v>
      </c>
      <c r="D25" s="9">
        <f t="shared" ref="D25:K25" si="3">D24/12</f>
        <v>50297.333333333336</v>
      </c>
      <c r="E25" s="9">
        <f t="shared" si="3"/>
        <v>83479</v>
      </c>
      <c r="F25" s="9">
        <f t="shared" si="3"/>
        <v>27506.833333333332</v>
      </c>
      <c r="G25" s="9">
        <f t="shared" si="3"/>
        <v>35648.583333333336</v>
      </c>
      <c r="H25" s="9">
        <f t="shared" si="3"/>
        <v>13827.083333333334</v>
      </c>
      <c r="I25" s="9">
        <f t="shared" si="3"/>
        <v>37512.833333333336</v>
      </c>
      <c r="J25" s="9">
        <f t="shared" si="3"/>
        <v>33197.166666666664</v>
      </c>
      <c r="K25" s="9">
        <f t="shared" si="3"/>
        <v>25662.166666666668</v>
      </c>
    </row>
    <row r="26" spans="1:11" s="1" customFormat="1" ht="15" thickTop="1" x14ac:dyDescent="0.35"/>
    <row r="27" spans="1:11" s="1" customFormat="1" x14ac:dyDescent="0.35">
      <c r="B27" s="7" t="s">
        <v>34</v>
      </c>
      <c r="C27" s="8">
        <f>ROUND(C17/C25,2)</f>
        <v>3.93</v>
      </c>
      <c r="D27" s="8">
        <f t="shared" ref="D27:K27" si="4">ROUND(D17/D25,2)</f>
        <v>4.17</v>
      </c>
      <c r="E27" s="8">
        <f t="shared" si="4"/>
        <v>2.25</v>
      </c>
      <c r="F27" s="8">
        <f t="shared" si="4"/>
        <v>5.47</v>
      </c>
      <c r="G27" s="8">
        <f t="shared" si="4"/>
        <v>2.2000000000000002</v>
      </c>
      <c r="H27" s="8">
        <f t="shared" si="4"/>
        <v>5.54</v>
      </c>
      <c r="I27" s="8">
        <f t="shared" si="4"/>
        <v>4.29</v>
      </c>
      <c r="J27" s="8">
        <f t="shared" si="4"/>
        <v>3.18</v>
      </c>
      <c r="K27" s="8">
        <f t="shared" si="4"/>
        <v>4.3099999999999996</v>
      </c>
    </row>
    <row r="29" spans="1:11" s="1" customFormat="1" x14ac:dyDescent="0.35">
      <c r="B29" s="7" t="s">
        <v>35</v>
      </c>
      <c r="C29" s="10">
        <f t="shared" ref="C29:K29" si="5">IF(C27&lt;1,0,IF(C27&gt;=4,11,(6.6+((C27-1)*1.46))))</f>
        <v>10.877800000000001</v>
      </c>
      <c r="D29" s="10">
        <f t="shared" si="5"/>
        <v>11</v>
      </c>
      <c r="E29" s="10">
        <f t="shared" si="5"/>
        <v>8.4249999999999989</v>
      </c>
      <c r="F29" s="10">
        <f t="shared" si="5"/>
        <v>11</v>
      </c>
      <c r="G29" s="10">
        <f t="shared" si="5"/>
        <v>8.3520000000000003</v>
      </c>
      <c r="H29" s="10">
        <f t="shared" si="5"/>
        <v>11</v>
      </c>
      <c r="I29" s="10">
        <f t="shared" si="5"/>
        <v>11</v>
      </c>
      <c r="J29" s="10">
        <f t="shared" si="5"/>
        <v>9.7827999999999999</v>
      </c>
      <c r="K29" s="10">
        <f t="shared" si="5"/>
        <v>11</v>
      </c>
    </row>
    <row r="32" spans="1:11" x14ac:dyDescent="0.35">
      <c r="A32" s="1" t="s">
        <v>129</v>
      </c>
    </row>
    <row r="33" spans="1:11" x14ac:dyDescent="0.35">
      <c r="A33" s="1" t="s">
        <v>127</v>
      </c>
    </row>
    <row r="35" spans="1:11" x14ac:dyDescent="0.35">
      <c r="A35" s="1" t="s">
        <v>52</v>
      </c>
    </row>
    <row r="36" spans="1:11" x14ac:dyDescent="0.35">
      <c r="B36" s="1" t="s">
        <v>53</v>
      </c>
      <c r="C36" s="48"/>
      <c r="D36" s="48"/>
      <c r="E36" s="48"/>
      <c r="F36" s="48"/>
      <c r="G36" s="48"/>
      <c r="H36" s="48"/>
      <c r="I36" s="48"/>
      <c r="J36" s="48"/>
      <c r="K36" s="48"/>
    </row>
    <row r="37" spans="1:11" x14ac:dyDescent="0.35">
      <c r="B37" s="1" t="s">
        <v>54</v>
      </c>
      <c r="C37" s="48"/>
      <c r="D37" s="48"/>
      <c r="E37" s="48"/>
      <c r="F37" s="48"/>
      <c r="G37" s="48"/>
      <c r="H37" s="48"/>
      <c r="I37" s="48"/>
      <c r="J37" s="48"/>
      <c r="K37" s="48"/>
    </row>
    <row r="38" spans="1:11" x14ac:dyDescent="0.35">
      <c r="B38" s="1" t="s">
        <v>55</v>
      </c>
      <c r="C38" s="48"/>
      <c r="D38" s="48"/>
      <c r="E38" s="48"/>
      <c r="F38" s="48"/>
      <c r="G38" s="48"/>
      <c r="H38" s="48"/>
      <c r="I38" s="48"/>
      <c r="J38" s="48"/>
      <c r="K38" s="48"/>
    </row>
    <row r="39" spans="1:11" x14ac:dyDescent="0.35">
      <c r="B39" s="1" t="s">
        <v>56</v>
      </c>
      <c r="C39" s="48"/>
      <c r="D39" s="48"/>
      <c r="E39" s="48"/>
      <c r="F39" s="48"/>
      <c r="G39" s="48"/>
      <c r="H39" s="48"/>
      <c r="I39" s="48"/>
      <c r="J39" s="48"/>
      <c r="K39" s="48"/>
    </row>
    <row r="40" spans="1:11" x14ac:dyDescent="0.35">
      <c r="B40" s="1" t="s">
        <v>57</v>
      </c>
      <c r="C40" s="48"/>
      <c r="D40" s="48"/>
      <c r="E40" s="48"/>
      <c r="F40" s="48"/>
      <c r="G40" s="48"/>
      <c r="H40" s="48"/>
      <c r="I40" s="48"/>
      <c r="J40" s="48"/>
      <c r="K40" s="48"/>
    </row>
    <row r="41" spans="1:11" x14ac:dyDescent="0.35">
      <c r="B41" s="1" t="s">
        <v>58</v>
      </c>
      <c r="C41" s="49"/>
      <c r="D41" s="49"/>
      <c r="E41" s="49"/>
      <c r="F41" s="49"/>
      <c r="G41" s="49"/>
      <c r="H41" s="49"/>
      <c r="I41" s="49"/>
      <c r="J41" s="49"/>
      <c r="K41" s="49"/>
    </row>
    <row r="42" spans="1:11" x14ac:dyDescent="0.35">
      <c r="B42" s="5" t="s">
        <v>59</v>
      </c>
      <c r="C42" s="1">
        <f>SUM(C36:C41)</f>
        <v>0</v>
      </c>
      <c r="D42" s="1">
        <f t="shared" ref="D42:K42" si="6">SUM(D36:D41)</f>
        <v>0</v>
      </c>
      <c r="E42" s="1">
        <f t="shared" si="6"/>
        <v>0</v>
      </c>
      <c r="F42" s="1">
        <f t="shared" si="6"/>
        <v>0</v>
      </c>
      <c r="G42" s="1">
        <f t="shared" si="6"/>
        <v>0</v>
      </c>
      <c r="H42" s="1">
        <f t="shared" si="6"/>
        <v>0</v>
      </c>
      <c r="I42" s="1">
        <f t="shared" si="6"/>
        <v>0</v>
      </c>
      <c r="J42" s="1">
        <f t="shared" si="6"/>
        <v>0</v>
      </c>
      <c r="K42" s="1">
        <f t="shared" si="6"/>
        <v>0</v>
      </c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scale="86" orientation="landscape" blackAndWhite="1" r:id="rId1"/>
  <rowBreaks count="1" manualBreakCount="1">
    <brk id="3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8"/>
  <sheetViews>
    <sheetView zoomScaleNormal="100" workbookViewId="0">
      <selection activeCell="M6" sqref="M6"/>
    </sheetView>
  </sheetViews>
  <sheetFormatPr defaultRowHeight="14.5" x14ac:dyDescent="0.35"/>
  <cols>
    <col min="1" max="1" width="12.7265625" style="1" customWidth="1"/>
    <col min="2" max="2" width="31.7265625" style="1" customWidth="1"/>
    <col min="3" max="11" width="10.7265625" style="1" customWidth="1"/>
    <col min="12" max="12" width="9.1796875" style="1"/>
  </cols>
  <sheetData>
    <row r="1" spans="1:11" x14ac:dyDescent="0.35">
      <c r="A1" s="70" t="s">
        <v>61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x14ac:dyDescent="0.35">
      <c r="A2" s="70" t="s">
        <v>62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x14ac:dyDescent="0.35">
      <c r="A3" s="71" t="s">
        <v>64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x14ac:dyDescent="0.35">
      <c r="A4" s="71" t="s">
        <v>63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6" spans="1:11" x14ac:dyDescent="0.35">
      <c r="C6" s="3" t="s">
        <v>8</v>
      </c>
      <c r="D6" s="3" t="s">
        <v>9</v>
      </c>
      <c r="E6" s="3" t="s">
        <v>10</v>
      </c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</row>
    <row r="7" spans="1:11" ht="29" x14ac:dyDescent="0.35">
      <c r="A7" s="1" t="s">
        <v>65</v>
      </c>
      <c r="B7" s="2" t="s">
        <v>66</v>
      </c>
      <c r="C7" s="48"/>
      <c r="D7" s="48"/>
      <c r="E7" s="48"/>
      <c r="F7" s="48"/>
      <c r="G7" s="48"/>
      <c r="H7" s="48"/>
      <c r="I7" s="48"/>
      <c r="J7" s="48"/>
      <c r="K7" s="48"/>
    </row>
    <row r="8" spans="1:11" ht="29" x14ac:dyDescent="0.35">
      <c r="A8" s="1" t="s">
        <v>67</v>
      </c>
      <c r="B8" s="2" t="s">
        <v>68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</row>
    <row r="9" spans="1:11" s="1" customFormat="1" ht="15" thickBot="1" x14ac:dyDescent="0.4">
      <c r="B9" s="6" t="s">
        <v>69</v>
      </c>
      <c r="C9" s="9">
        <f>SUM(C7:C8)</f>
        <v>0</v>
      </c>
      <c r="D9" s="9">
        <f t="shared" ref="D9:K9" si="0">SUM(D7:D8)</f>
        <v>0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  <c r="I9" s="9">
        <f t="shared" si="0"/>
        <v>0</v>
      </c>
      <c r="J9" s="9">
        <f t="shared" si="0"/>
        <v>0</v>
      </c>
      <c r="K9" s="9">
        <f t="shared" si="0"/>
        <v>0</v>
      </c>
    </row>
    <row r="10" spans="1:11" s="1" customFormat="1" ht="15" thickTop="1" x14ac:dyDescent="0.35"/>
    <row r="11" spans="1:11" s="1" customFormat="1" ht="29" x14ac:dyDescent="0.35">
      <c r="A11" s="1" t="s">
        <v>70</v>
      </c>
      <c r="B11" s="2" t="s">
        <v>71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</row>
    <row r="12" spans="1:11" s="1" customFormat="1" ht="29" x14ac:dyDescent="0.35">
      <c r="A12" s="1" t="s">
        <v>72</v>
      </c>
      <c r="B12" s="2" t="s">
        <v>73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</row>
    <row r="13" spans="1:11" s="1" customFormat="1" ht="29" x14ac:dyDescent="0.35">
      <c r="A13" s="1" t="s">
        <v>76</v>
      </c>
      <c r="B13" s="2" t="s">
        <v>74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</row>
    <row r="14" spans="1:11" s="1" customFormat="1" ht="15" thickBot="1" x14ac:dyDescent="0.4">
      <c r="B14" s="6" t="s">
        <v>75</v>
      </c>
      <c r="C14" s="9">
        <f>ROUND(SUM(C11:C13),0)</f>
        <v>0</v>
      </c>
      <c r="D14" s="9">
        <f t="shared" ref="D14:K14" si="1">ROUND(SUM(D11:D13),0)</f>
        <v>0</v>
      </c>
      <c r="E14" s="9">
        <f t="shared" si="1"/>
        <v>0</v>
      </c>
      <c r="F14" s="9">
        <f t="shared" si="1"/>
        <v>0</v>
      </c>
      <c r="G14" s="9">
        <f t="shared" si="1"/>
        <v>0</v>
      </c>
      <c r="H14" s="9">
        <f t="shared" si="1"/>
        <v>0</v>
      </c>
      <c r="I14" s="9">
        <f t="shared" si="1"/>
        <v>0</v>
      </c>
      <c r="J14" s="9">
        <f t="shared" si="1"/>
        <v>0</v>
      </c>
      <c r="K14" s="9">
        <f t="shared" si="1"/>
        <v>0</v>
      </c>
    </row>
    <row r="15" spans="1:11" s="1" customFormat="1" ht="15" thickTop="1" x14ac:dyDescent="0.35"/>
    <row r="16" spans="1:11" s="1" customFormat="1" x14ac:dyDescent="0.35">
      <c r="B16" s="7" t="s">
        <v>34</v>
      </c>
      <c r="C16" s="8" t="str">
        <f>IF(C14=0,"NO DEBT",ROUND(C9/C14,2))</f>
        <v>NO DEBT</v>
      </c>
      <c r="D16" s="8" t="str">
        <f t="shared" ref="D16:K16" si="2">IF(D14=0,"NO DEBT",ROUND(D9/D14,2))</f>
        <v>NO DEBT</v>
      </c>
      <c r="E16" s="8" t="str">
        <f t="shared" si="2"/>
        <v>NO DEBT</v>
      </c>
      <c r="F16" s="8" t="str">
        <f t="shared" si="2"/>
        <v>NO DEBT</v>
      </c>
      <c r="G16" s="8" t="str">
        <f t="shared" si="2"/>
        <v>NO DEBT</v>
      </c>
      <c r="H16" s="8" t="str">
        <f t="shared" si="2"/>
        <v>NO DEBT</v>
      </c>
      <c r="I16" s="8" t="str">
        <f t="shared" si="2"/>
        <v>NO DEBT</v>
      </c>
      <c r="J16" s="8" t="str">
        <f t="shared" si="2"/>
        <v>NO DEBT</v>
      </c>
      <c r="K16" s="8" t="str">
        <f t="shared" si="2"/>
        <v>NO DEBT</v>
      </c>
    </row>
    <row r="18" spans="2:11" s="1" customFormat="1" x14ac:dyDescent="0.35">
      <c r="B18" s="7" t="s">
        <v>35</v>
      </c>
      <c r="C18" s="10">
        <f>IF(C16="no debt",2,IF(C16&lt;1,0,IF(C16&gt;=1.25,2,1)))</f>
        <v>2</v>
      </c>
      <c r="D18" s="10">
        <f t="shared" ref="D18:K18" si="3">IF(D16="no debt",2,IF(D16&lt;1,0,IF(D16&gt;1.25,2,1)))</f>
        <v>2</v>
      </c>
      <c r="E18" s="10">
        <f t="shared" si="3"/>
        <v>2</v>
      </c>
      <c r="F18" s="10">
        <f t="shared" si="3"/>
        <v>2</v>
      </c>
      <c r="G18" s="10">
        <f t="shared" si="3"/>
        <v>2</v>
      </c>
      <c r="H18" s="10">
        <f t="shared" si="3"/>
        <v>2</v>
      </c>
      <c r="I18" s="10">
        <f t="shared" si="3"/>
        <v>2</v>
      </c>
      <c r="J18" s="10">
        <f t="shared" si="3"/>
        <v>2</v>
      </c>
      <c r="K18" s="10">
        <f t="shared" si="3"/>
        <v>2</v>
      </c>
    </row>
  </sheetData>
  <sheetProtection sheet="1" objects="1" scenarios="1"/>
  <mergeCells count="4">
    <mergeCell ref="A1:K1"/>
    <mergeCell ref="A2:K2"/>
    <mergeCell ref="A3:K3"/>
    <mergeCell ref="A4:K4"/>
  </mergeCells>
  <pageMargins left="0.7" right="0.7" top="0.75" bottom="0.75" header="0.3" footer="0.3"/>
  <pageSetup scale="86" orientation="landscape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3"/>
  <sheetViews>
    <sheetView zoomScale="140" zoomScaleNormal="140" workbookViewId="0">
      <selection activeCell="K7" sqref="K7"/>
    </sheetView>
  </sheetViews>
  <sheetFormatPr defaultRowHeight="14.5" x14ac:dyDescent="0.35"/>
  <cols>
    <col min="2" max="2" width="7.81640625" bestFit="1" customWidth="1"/>
    <col min="7" max="7" width="10.1796875" bestFit="1" customWidth="1"/>
  </cols>
  <sheetData>
    <row r="1" spans="1:9" x14ac:dyDescent="0.35">
      <c r="A1" s="75" t="s">
        <v>87</v>
      </c>
      <c r="B1" s="75"/>
      <c r="C1" s="75"/>
      <c r="D1" s="75"/>
      <c r="E1" s="75"/>
      <c r="F1" s="75"/>
      <c r="G1" s="75"/>
      <c r="H1" s="75"/>
      <c r="I1" s="75"/>
    </row>
    <row r="3" spans="1:9" ht="15" customHeight="1" x14ac:dyDescent="0.35">
      <c r="A3" s="12"/>
      <c r="B3" s="15" t="s">
        <v>85</v>
      </c>
      <c r="C3" s="72" t="s">
        <v>80</v>
      </c>
      <c r="D3" s="73"/>
      <c r="E3" s="72" t="s">
        <v>81</v>
      </c>
      <c r="F3" s="74"/>
      <c r="G3" s="72" t="s">
        <v>82</v>
      </c>
      <c r="H3" s="74"/>
      <c r="I3" s="55" t="s">
        <v>84</v>
      </c>
    </row>
    <row r="4" spans="1:9" ht="24.75" customHeight="1" x14ac:dyDescent="0.35">
      <c r="A4" s="13" t="s">
        <v>77</v>
      </c>
      <c r="B4" s="16" t="s">
        <v>86</v>
      </c>
      <c r="C4" s="26" t="s">
        <v>78</v>
      </c>
      <c r="D4" s="27" t="s">
        <v>79</v>
      </c>
      <c r="E4" s="26" t="s">
        <v>78</v>
      </c>
      <c r="F4" s="28" t="s">
        <v>79</v>
      </c>
      <c r="G4" s="26" t="s">
        <v>78</v>
      </c>
      <c r="H4" s="28" t="s">
        <v>79</v>
      </c>
      <c r="I4" s="56" t="s">
        <v>130</v>
      </c>
    </row>
    <row r="5" spans="1:9" x14ac:dyDescent="0.35">
      <c r="A5" s="14" t="s">
        <v>8</v>
      </c>
      <c r="B5" t="s">
        <v>83</v>
      </c>
      <c r="C5" s="18">
        <f>'Quick Ratio'!C22</f>
        <v>5.72</v>
      </c>
      <c r="D5" s="20">
        <f>'Quick Ratio'!C24</f>
        <v>12</v>
      </c>
      <c r="E5" s="18">
        <f>MENAR!C27</f>
        <v>3.93</v>
      </c>
      <c r="F5" s="22">
        <f>MENAR!C29</f>
        <v>10.877800000000001</v>
      </c>
      <c r="G5" s="18" t="str">
        <f>DSCR!C16</f>
        <v>NO DEBT</v>
      </c>
      <c r="H5" s="22">
        <f>DSCR!C18</f>
        <v>2</v>
      </c>
      <c r="I5" s="24">
        <f>D5+F5+H5</f>
        <v>24.877800000000001</v>
      </c>
    </row>
    <row r="6" spans="1:9" x14ac:dyDescent="0.35">
      <c r="A6" s="14" t="s">
        <v>9</v>
      </c>
      <c r="B6" t="s">
        <v>83</v>
      </c>
      <c r="C6" s="18">
        <f>'Quick Ratio'!D22</f>
        <v>4.51</v>
      </c>
      <c r="D6" s="20">
        <f>'Quick Ratio'!D24</f>
        <v>12</v>
      </c>
      <c r="E6" s="18">
        <f>MENAR!D27</f>
        <v>4.17</v>
      </c>
      <c r="F6" s="22">
        <f>MENAR!D29</f>
        <v>11</v>
      </c>
      <c r="G6" s="18" t="str">
        <f>DSCR!D16</f>
        <v>NO DEBT</v>
      </c>
      <c r="H6" s="22">
        <f>DSCR!D18</f>
        <v>2</v>
      </c>
      <c r="I6" s="24">
        <f t="shared" ref="I6:I13" si="0">D6+F6+H6</f>
        <v>25</v>
      </c>
    </row>
    <row r="7" spans="1:9" x14ac:dyDescent="0.35">
      <c r="A7" s="14" t="s">
        <v>10</v>
      </c>
      <c r="B7" t="s">
        <v>83</v>
      </c>
      <c r="C7" s="18">
        <f>'Quick Ratio'!E22</f>
        <v>3.6</v>
      </c>
      <c r="D7" s="20">
        <f>'Quick Ratio'!E24</f>
        <v>12</v>
      </c>
      <c r="E7" s="18">
        <f>MENAR!E27</f>
        <v>2.25</v>
      </c>
      <c r="F7" s="22">
        <f>MENAR!E29</f>
        <v>8.4249999999999989</v>
      </c>
      <c r="G7" s="18" t="str">
        <f>DSCR!E16</f>
        <v>NO DEBT</v>
      </c>
      <c r="H7" s="22">
        <f>DSCR!E18</f>
        <v>2</v>
      </c>
      <c r="I7" s="24">
        <f t="shared" si="0"/>
        <v>22.424999999999997</v>
      </c>
    </row>
    <row r="8" spans="1:9" x14ac:dyDescent="0.35">
      <c r="A8" s="14" t="s">
        <v>11</v>
      </c>
      <c r="B8" t="s">
        <v>83</v>
      </c>
      <c r="C8" s="18">
        <f>'Quick Ratio'!F22</f>
        <v>4.5999999999999996</v>
      </c>
      <c r="D8" s="20">
        <f>'Quick Ratio'!F24</f>
        <v>12</v>
      </c>
      <c r="E8" s="18">
        <f>MENAR!F27</f>
        <v>5.47</v>
      </c>
      <c r="F8" s="22">
        <f>MENAR!F29</f>
        <v>11</v>
      </c>
      <c r="G8" s="18" t="str">
        <f>DSCR!F16</f>
        <v>NO DEBT</v>
      </c>
      <c r="H8" s="22">
        <f>DSCR!F18</f>
        <v>2</v>
      </c>
      <c r="I8" s="24">
        <f t="shared" si="0"/>
        <v>25</v>
      </c>
    </row>
    <row r="9" spans="1:9" x14ac:dyDescent="0.35">
      <c r="A9" s="14" t="s">
        <v>12</v>
      </c>
      <c r="B9" t="s">
        <v>83</v>
      </c>
      <c r="C9" s="18">
        <f>'Quick Ratio'!G22</f>
        <v>2.66</v>
      </c>
      <c r="D9" s="20">
        <f>'Quick Ratio'!G24</f>
        <v>12</v>
      </c>
      <c r="E9" s="18">
        <f>MENAR!G27</f>
        <v>2.2000000000000002</v>
      </c>
      <c r="F9" s="22">
        <f>MENAR!G29</f>
        <v>8.3520000000000003</v>
      </c>
      <c r="G9" s="18" t="str">
        <f>DSCR!G16</f>
        <v>NO DEBT</v>
      </c>
      <c r="H9" s="22">
        <f>DSCR!G18</f>
        <v>2</v>
      </c>
      <c r="I9" s="24">
        <f t="shared" si="0"/>
        <v>22.352</v>
      </c>
    </row>
    <row r="10" spans="1:9" x14ac:dyDescent="0.35">
      <c r="A10" s="14" t="s">
        <v>13</v>
      </c>
      <c r="B10" t="s">
        <v>83</v>
      </c>
      <c r="C10" s="18">
        <f>'Quick Ratio'!H22</f>
        <v>2.68</v>
      </c>
      <c r="D10" s="20">
        <f>'Quick Ratio'!H24</f>
        <v>12</v>
      </c>
      <c r="E10" s="18">
        <f>MENAR!H27</f>
        <v>5.54</v>
      </c>
      <c r="F10" s="22">
        <f>MENAR!H29</f>
        <v>11</v>
      </c>
      <c r="G10" s="18" t="str">
        <f>DSCR!H16</f>
        <v>NO DEBT</v>
      </c>
      <c r="H10" s="22">
        <f>DSCR!H18</f>
        <v>2</v>
      </c>
      <c r="I10" s="24">
        <f t="shared" si="0"/>
        <v>25</v>
      </c>
    </row>
    <row r="11" spans="1:9" x14ac:dyDescent="0.35">
      <c r="A11" s="14" t="s">
        <v>14</v>
      </c>
      <c r="B11" t="s">
        <v>83</v>
      </c>
      <c r="C11" s="18">
        <f>'Quick Ratio'!I22</f>
        <v>3.01</v>
      </c>
      <c r="D11" s="20">
        <f>'Quick Ratio'!I24</f>
        <v>12</v>
      </c>
      <c r="E11" s="18">
        <f>MENAR!I27</f>
        <v>4.29</v>
      </c>
      <c r="F11" s="22">
        <f>MENAR!I29</f>
        <v>11</v>
      </c>
      <c r="G11" s="18" t="str">
        <f>DSCR!I16</f>
        <v>NO DEBT</v>
      </c>
      <c r="H11" s="22">
        <f>DSCR!I18</f>
        <v>2</v>
      </c>
      <c r="I11" s="24">
        <f t="shared" si="0"/>
        <v>25</v>
      </c>
    </row>
    <row r="12" spans="1:9" x14ac:dyDescent="0.35">
      <c r="A12" s="14" t="s">
        <v>15</v>
      </c>
      <c r="B12" t="s">
        <v>83</v>
      </c>
      <c r="C12" s="18">
        <f>'Quick Ratio'!J22</f>
        <v>2.71</v>
      </c>
      <c r="D12" s="20">
        <f>'Quick Ratio'!J24</f>
        <v>12</v>
      </c>
      <c r="E12" s="18">
        <f>MENAR!J27</f>
        <v>3.18</v>
      </c>
      <c r="F12" s="22">
        <f>MENAR!J29</f>
        <v>9.7827999999999999</v>
      </c>
      <c r="G12" s="18" t="str">
        <f>DSCR!J16</f>
        <v>NO DEBT</v>
      </c>
      <c r="H12" s="22">
        <f>DSCR!J18</f>
        <v>2</v>
      </c>
      <c r="I12" s="24">
        <f t="shared" si="0"/>
        <v>23.782800000000002</v>
      </c>
    </row>
    <row r="13" spans="1:9" x14ac:dyDescent="0.35">
      <c r="A13" s="16" t="s">
        <v>16</v>
      </c>
      <c r="B13" s="17" t="s">
        <v>83</v>
      </c>
      <c r="C13" s="19">
        <f>'Quick Ratio'!K22</f>
        <v>3.58</v>
      </c>
      <c r="D13" s="21">
        <f>'Quick Ratio'!K24</f>
        <v>12</v>
      </c>
      <c r="E13" s="19">
        <f>MENAR!K27</f>
        <v>4.3099999999999996</v>
      </c>
      <c r="F13" s="23">
        <f>MENAR!K29</f>
        <v>11</v>
      </c>
      <c r="G13" s="19" t="str">
        <f>DSCR!K16</f>
        <v>NO DEBT</v>
      </c>
      <c r="H13" s="23">
        <f>DSCR!K18</f>
        <v>2</v>
      </c>
      <c r="I13" s="25">
        <f t="shared" si="0"/>
        <v>25</v>
      </c>
    </row>
  </sheetData>
  <sheetProtection algorithmName="SHA-512" hashValue="uR8XySUA5vOXw5Hwv4l+oMCXknkeO63kmQrbDN8ssrCgZ19WEdnjdchjuLNCQrRVDfOUyxrFqnY+EtoZNfSrcA==" saltValue="iG5ZxkHbc5OqnOmbNNQ9sg==" spinCount="100000" sheet="1" objects="1" scenarios="1"/>
  <mergeCells count="4">
    <mergeCell ref="C3:D3"/>
    <mergeCell ref="E3:F3"/>
    <mergeCell ref="G3:H3"/>
    <mergeCell ref="A1:I1"/>
  </mergeCells>
  <pageMargins left="0.7" right="0.7" top="0.75" bottom="0.75" header="0.3" footer="0.3"/>
  <pageSetup scale="86" orientation="landscape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7"/>
  <sheetViews>
    <sheetView zoomScale="140" zoomScaleNormal="140" workbookViewId="0">
      <selection activeCell="I14" sqref="I14"/>
    </sheetView>
  </sheetViews>
  <sheetFormatPr defaultRowHeight="14.5" x14ac:dyDescent="0.35"/>
  <cols>
    <col min="1" max="3" width="12.7265625" style="1" customWidth="1"/>
    <col min="4" max="5" width="12.7265625" style="8" customWidth="1"/>
    <col min="6" max="6" width="9.1796875" style="1"/>
  </cols>
  <sheetData>
    <row r="1" spans="1:5" x14ac:dyDescent="0.35">
      <c r="A1" s="70" t="s">
        <v>98</v>
      </c>
      <c r="B1" s="70"/>
      <c r="C1" s="70"/>
      <c r="D1" s="70"/>
      <c r="E1" s="70"/>
    </row>
    <row r="3" spans="1:5" x14ac:dyDescent="0.35">
      <c r="A3" s="79" t="s">
        <v>77</v>
      </c>
      <c r="B3" s="82" t="s">
        <v>92</v>
      </c>
      <c r="C3" s="79" t="s">
        <v>90</v>
      </c>
      <c r="D3" s="76" t="s">
        <v>84</v>
      </c>
      <c r="E3" s="76" t="s">
        <v>91</v>
      </c>
    </row>
    <row r="4" spans="1:5" x14ac:dyDescent="0.35">
      <c r="A4" s="80"/>
      <c r="B4" s="83"/>
      <c r="C4" s="80"/>
      <c r="D4" s="77"/>
      <c r="E4" s="77"/>
    </row>
    <row r="5" spans="1:5" x14ac:dyDescent="0.35">
      <c r="A5" s="81"/>
      <c r="B5" s="84"/>
      <c r="C5" s="81"/>
      <c r="D5" s="78"/>
      <c r="E5" s="78"/>
    </row>
    <row r="6" spans="1:5" x14ac:dyDescent="0.35">
      <c r="A6" s="33" t="s">
        <v>8</v>
      </c>
      <c r="B6" s="52">
        <v>1200</v>
      </c>
      <c r="C6" s="31">
        <v>100</v>
      </c>
      <c r="D6" s="32">
        <f>'Score Summary - FASS'!I5</f>
        <v>24.877800000000001</v>
      </c>
      <c r="E6" s="36">
        <f>ROUND(C6*D6,2)</f>
        <v>2487.7800000000002</v>
      </c>
    </row>
    <row r="7" spans="1:5" x14ac:dyDescent="0.35">
      <c r="A7" s="34" t="s">
        <v>9</v>
      </c>
      <c r="B7" s="53">
        <v>2400</v>
      </c>
      <c r="C7" s="29">
        <v>200</v>
      </c>
      <c r="D7" s="18">
        <f>'Score Summary - FASS'!I6</f>
        <v>25</v>
      </c>
      <c r="E7" s="37">
        <f t="shared" ref="E7:E14" si="0">ROUND(C7*D7,2)</f>
        <v>5000</v>
      </c>
    </row>
    <row r="8" spans="1:5" x14ac:dyDescent="0.35">
      <c r="A8" s="34" t="s">
        <v>10</v>
      </c>
      <c r="B8" s="53">
        <v>600</v>
      </c>
      <c r="C8" s="29">
        <v>50</v>
      </c>
      <c r="D8" s="18">
        <f>'Score Summary - FASS'!I7</f>
        <v>22.424999999999997</v>
      </c>
      <c r="E8" s="37">
        <f t="shared" si="0"/>
        <v>1121.25</v>
      </c>
    </row>
    <row r="9" spans="1:5" x14ac:dyDescent="0.35">
      <c r="A9" s="34" t="s">
        <v>11</v>
      </c>
      <c r="B9" s="53">
        <v>1500</v>
      </c>
      <c r="C9" s="29">
        <v>125</v>
      </c>
      <c r="D9" s="18">
        <f>'Score Summary - FASS'!I8</f>
        <v>25</v>
      </c>
      <c r="E9" s="37">
        <f t="shared" si="0"/>
        <v>3125</v>
      </c>
    </row>
    <row r="10" spans="1:5" x14ac:dyDescent="0.35">
      <c r="A10" s="34" t="s">
        <v>12</v>
      </c>
      <c r="B10" s="53">
        <v>3000</v>
      </c>
      <c r="C10" s="29">
        <v>250</v>
      </c>
      <c r="D10" s="18">
        <f>'Score Summary - FASS'!I9</f>
        <v>22.352</v>
      </c>
      <c r="E10" s="37">
        <f t="shared" si="0"/>
        <v>5588</v>
      </c>
    </row>
    <row r="11" spans="1:5" x14ac:dyDescent="0.35">
      <c r="A11" s="34" t="s">
        <v>13</v>
      </c>
      <c r="B11" s="53">
        <v>600</v>
      </c>
      <c r="C11" s="29">
        <v>50</v>
      </c>
      <c r="D11" s="18">
        <f>'Score Summary - FASS'!I10</f>
        <v>25</v>
      </c>
      <c r="E11" s="37">
        <f t="shared" si="0"/>
        <v>1250</v>
      </c>
    </row>
    <row r="12" spans="1:5" x14ac:dyDescent="0.35">
      <c r="A12" s="34" t="s">
        <v>14</v>
      </c>
      <c r="B12" s="53">
        <v>1500</v>
      </c>
      <c r="C12" s="29">
        <v>125</v>
      </c>
      <c r="D12" s="18">
        <f>'Score Summary - FASS'!I11</f>
        <v>25</v>
      </c>
      <c r="E12" s="37">
        <f t="shared" si="0"/>
        <v>3125</v>
      </c>
    </row>
    <row r="13" spans="1:5" x14ac:dyDescent="0.35">
      <c r="A13" s="34" t="s">
        <v>15</v>
      </c>
      <c r="B13" s="53">
        <v>2940</v>
      </c>
      <c r="C13" s="29">
        <v>245</v>
      </c>
      <c r="D13" s="18">
        <f>'Score Summary - FASS'!I12</f>
        <v>23.782800000000002</v>
      </c>
      <c r="E13" s="37">
        <f t="shared" si="0"/>
        <v>5826.79</v>
      </c>
    </row>
    <row r="14" spans="1:5" x14ac:dyDescent="0.35">
      <c r="A14" s="35" t="s">
        <v>16</v>
      </c>
      <c r="B14" s="54">
        <v>1596</v>
      </c>
      <c r="C14" s="30">
        <v>133</v>
      </c>
      <c r="D14" s="19">
        <f>'Score Summary - FASS'!I13</f>
        <v>25</v>
      </c>
      <c r="E14" s="38">
        <f t="shared" si="0"/>
        <v>3325</v>
      </c>
    </row>
    <row r="15" spans="1:5" x14ac:dyDescent="0.35">
      <c r="A15" s="62" t="s">
        <v>93</v>
      </c>
      <c r="B15" s="63"/>
      <c r="C15" s="41">
        <f>SUM(C6:C14)</f>
        <v>1278</v>
      </c>
      <c r="D15" s="40"/>
      <c r="E15" s="39">
        <f>SUM(E6:E14)</f>
        <v>30848.82</v>
      </c>
    </row>
    <row r="16" spans="1:5" x14ac:dyDescent="0.35">
      <c r="A16" s="64" t="s">
        <v>94</v>
      </c>
      <c r="B16" s="65"/>
      <c r="C16" s="65"/>
      <c r="D16" s="66"/>
      <c r="E16" s="57">
        <f>ROUND(E15/C15,2)</f>
        <v>24.14</v>
      </c>
    </row>
    <row r="17" spans="1:5" x14ac:dyDescent="0.35">
      <c r="A17" s="67" t="s">
        <v>95</v>
      </c>
      <c r="B17" s="68"/>
      <c r="C17" s="68"/>
      <c r="D17" s="69"/>
      <c r="E17" s="58"/>
    </row>
  </sheetData>
  <mergeCells count="6">
    <mergeCell ref="A1:E1"/>
    <mergeCell ref="E3:E5"/>
    <mergeCell ref="D3:D5"/>
    <mergeCell ref="C3:C5"/>
    <mergeCell ref="B3:B5"/>
    <mergeCell ref="A3:A5"/>
  </mergeCells>
  <pageMargins left="0.7" right="0.7" top="0.75" bottom="0.75" header="0.3" footer="0.3"/>
  <pageSetup scale="86" orientation="landscape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2"/>
  <sheetViews>
    <sheetView zoomScaleNormal="100" workbookViewId="0">
      <selection activeCell="E16" sqref="E16"/>
    </sheetView>
  </sheetViews>
  <sheetFormatPr defaultRowHeight="14.5" x14ac:dyDescent="0.35"/>
  <cols>
    <col min="1" max="1" width="12.7265625" style="1" customWidth="1"/>
    <col min="2" max="2" width="31.7265625" style="1" customWidth="1"/>
    <col min="3" max="11" width="10.7265625" style="1" customWidth="1"/>
    <col min="12" max="12" width="9.1796875" style="1"/>
  </cols>
  <sheetData>
    <row r="1" spans="1:11" x14ac:dyDescent="0.35">
      <c r="A1" s="70" t="s">
        <v>107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1" customFormat="1" x14ac:dyDescent="0.35">
      <c r="A2" s="71" t="s">
        <v>109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s="1" customFormat="1" x14ac:dyDescent="0.35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5" spans="1:11" s="1" customFormat="1" x14ac:dyDescent="0.35">
      <c r="C5" s="3" t="s">
        <v>8</v>
      </c>
      <c r="D5" s="3" t="s">
        <v>9</v>
      </c>
      <c r="E5" s="3" t="s">
        <v>10</v>
      </c>
      <c r="F5" s="3" t="s">
        <v>11</v>
      </c>
      <c r="G5" s="3" t="s">
        <v>12</v>
      </c>
      <c r="H5" s="3" t="s">
        <v>13</v>
      </c>
      <c r="I5" s="3" t="s">
        <v>14</v>
      </c>
      <c r="J5" s="3" t="s">
        <v>15</v>
      </c>
      <c r="K5" s="3" t="s">
        <v>16</v>
      </c>
    </row>
    <row r="6" spans="1:11" s="1" customFormat="1" x14ac:dyDescent="0.35">
      <c r="A6" s="1" t="s">
        <v>110</v>
      </c>
      <c r="B6" s="2" t="s">
        <v>111</v>
      </c>
      <c r="C6" s="48">
        <v>1180</v>
      </c>
      <c r="D6" s="48">
        <v>2398</v>
      </c>
      <c r="E6" s="48">
        <v>540</v>
      </c>
      <c r="F6" s="48">
        <v>1478</v>
      </c>
      <c r="G6" s="48">
        <v>2962</v>
      </c>
      <c r="H6" s="48">
        <v>586</v>
      </c>
      <c r="I6" s="48">
        <v>1478</v>
      </c>
      <c r="J6" s="48">
        <v>2876</v>
      </c>
      <c r="K6" s="48">
        <v>1541</v>
      </c>
    </row>
    <row r="7" spans="1:11" s="1" customFormat="1" x14ac:dyDescent="0.35"/>
    <row r="8" spans="1:11" s="1" customFormat="1" x14ac:dyDescent="0.35">
      <c r="A8" s="1" t="s">
        <v>89</v>
      </c>
      <c r="B8" s="2" t="s">
        <v>88</v>
      </c>
      <c r="C8" s="50">
        <f>'PHA Score - FASS'!B6</f>
        <v>1200</v>
      </c>
      <c r="D8" s="50">
        <f>'PHA Score - FASS'!B7</f>
        <v>2400</v>
      </c>
      <c r="E8" s="50">
        <f>'PHA Score - FASS'!B8</f>
        <v>600</v>
      </c>
      <c r="F8" s="50">
        <f>'PHA Score - FASS'!B9</f>
        <v>1500</v>
      </c>
      <c r="G8" s="50">
        <f>'PHA Score - FASS'!B10</f>
        <v>3000</v>
      </c>
      <c r="H8" s="50">
        <f>'PHA Score - FASS'!B11</f>
        <v>600</v>
      </c>
      <c r="I8" s="50">
        <f>'PHA Score - FASS'!B12</f>
        <v>1500</v>
      </c>
      <c r="J8" s="50">
        <f>'PHA Score - FASS'!B13</f>
        <v>2940</v>
      </c>
      <c r="K8" s="50">
        <f>'PHA Score - FASS'!B14</f>
        <v>1596</v>
      </c>
    </row>
    <row r="9" spans="1:11" s="1" customFormat="1" x14ac:dyDescent="0.35"/>
    <row r="10" spans="1:11" s="1" customFormat="1" x14ac:dyDescent="0.35">
      <c r="B10" s="7" t="s">
        <v>105</v>
      </c>
      <c r="C10" s="42">
        <f t="shared" ref="C10:K10" si="0">C6/C8</f>
        <v>0.98333333333333328</v>
      </c>
      <c r="D10" s="42">
        <f t="shared" si="0"/>
        <v>0.99916666666666665</v>
      </c>
      <c r="E10" s="42">
        <f t="shared" si="0"/>
        <v>0.9</v>
      </c>
      <c r="F10" s="42">
        <f t="shared" si="0"/>
        <v>0.98533333333333328</v>
      </c>
      <c r="G10" s="42">
        <f t="shared" si="0"/>
        <v>0.98733333333333329</v>
      </c>
      <c r="H10" s="42">
        <f t="shared" si="0"/>
        <v>0.97666666666666668</v>
      </c>
      <c r="I10" s="42">
        <f t="shared" si="0"/>
        <v>0.98533333333333328</v>
      </c>
      <c r="J10" s="42">
        <f t="shared" si="0"/>
        <v>0.9782312925170068</v>
      </c>
      <c r="K10" s="42">
        <f t="shared" si="0"/>
        <v>0.96553884711779447</v>
      </c>
    </row>
    <row r="12" spans="1:11" s="1" customFormat="1" x14ac:dyDescent="0.35">
      <c r="A12" s="46"/>
      <c r="B12" s="47" t="s">
        <v>106</v>
      </c>
      <c r="C12" s="10">
        <f>IF(C10&lt;0.9,0,IF(C10&lt;0.92,1,IF(C10&lt;0.94,4,IF(C10&lt;0.96,8,IF(C10&lt;0.98,12,IF(C10&gt;=0.98,16))))))</f>
        <v>16</v>
      </c>
      <c r="D12" s="10">
        <f t="shared" ref="D12:K12" si="1">IF(D10&lt;0.9,0,IF(D10&lt;0.92,1,IF(D10&lt;0.94,4,IF(D10&lt;0.96,8,IF(D10&lt;0.98,12,IF(D10&gt;=0.98,16))))))</f>
        <v>16</v>
      </c>
      <c r="E12" s="10">
        <f t="shared" si="1"/>
        <v>1</v>
      </c>
      <c r="F12" s="10">
        <f t="shared" si="1"/>
        <v>16</v>
      </c>
      <c r="G12" s="10">
        <f t="shared" si="1"/>
        <v>16</v>
      </c>
      <c r="H12" s="10">
        <f t="shared" si="1"/>
        <v>12</v>
      </c>
      <c r="I12" s="10">
        <f t="shared" si="1"/>
        <v>16</v>
      </c>
      <c r="J12" s="10">
        <f t="shared" si="1"/>
        <v>12</v>
      </c>
      <c r="K12" s="10">
        <f t="shared" si="1"/>
        <v>12</v>
      </c>
    </row>
  </sheetData>
  <mergeCells count="3">
    <mergeCell ref="A1:K1"/>
    <mergeCell ref="A2:K2"/>
    <mergeCell ref="A3:K3"/>
  </mergeCells>
  <pageMargins left="0.7" right="0.7" top="0.75" bottom="0.75" header="0.3" footer="0.3"/>
  <pageSetup scale="86" orientation="landscape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4"/>
  <sheetViews>
    <sheetView zoomScaleNormal="100" workbookViewId="0">
      <selection activeCell="H7" sqref="H7"/>
    </sheetView>
  </sheetViews>
  <sheetFormatPr defaultRowHeight="14.5" x14ac:dyDescent="0.35"/>
  <cols>
    <col min="1" max="1" width="12.7265625" style="1" customWidth="1"/>
    <col min="2" max="2" width="31.7265625" style="1" customWidth="1"/>
    <col min="3" max="11" width="10.7265625" style="1" customWidth="1"/>
    <col min="12" max="12" width="9.1796875" style="1"/>
  </cols>
  <sheetData>
    <row r="1" spans="1:11" x14ac:dyDescent="0.35">
      <c r="A1" s="70" t="s">
        <v>96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1" customFormat="1" x14ac:dyDescent="0.35">
      <c r="A2" s="71" t="s">
        <v>100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s="1" customFormat="1" x14ac:dyDescent="0.35">
      <c r="A3" s="71" t="s">
        <v>97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5" spans="1:11" s="1" customFormat="1" x14ac:dyDescent="0.35">
      <c r="C5" s="3" t="s">
        <v>8</v>
      </c>
      <c r="D5" s="3" t="s">
        <v>9</v>
      </c>
      <c r="E5" s="3" t="s">
        <v>10</v>
      </c>
      <c r="F5" s="3" t="s">
        <v>11</v>
      </c>
      <c r="G5" s="3" t="s">
        <v>12</v>
      </c>
      <c r="H5" s="3" t="s">
        <v>13</v>
      </c>
      <c r="I5" s="3" t="s">
        <v>14</v>
      </c>
      <c r="J5" s="3" t="s">
        <v>15</v>
      </c>
      <c r="K5" s="3" t="s">
        <v>16</v>
      </c>
    </row>
    <row r="6" spans="1:11" s="1" customFormat="1" x14ac:dyDescent="0.35">
      <c r="A6" s="1" t="s">
        <v>101</v>
      </c>
      <c r="B6" s="2" t="s">
        <v>102</v>
      </c>
      <c r="C6" s="48">
        <v>1651</v>
      </c>
      <c r="D6" s="48">
        <v>3124</v>
      </c>
      <c r="E6" s="48">
        <v>21528</v>
      </c>
      <c r="F6" s="48">
        <v>412</v>
      </c>
      <c r="G6" s="48">
        <v>2300</v>
      </c>
      <c r="H6" s="48">
        <v>1254</v>
      </c>
      <c r="I6" s="48">
        <v>26156</v>
      </c>
      <c r="J6" s="48">
        <v>14254</v>
      </c>
      <c r="K6" s="48">
        <v>13389</v>
      </c>
    </row>
    <row r="7" spans="1:11" s="1" customFormat="1" x14ac:dyDescent="0.35"/>
    <row r="8" spans="1:11" s="1" customFormat="1" x14ac:dyDescent="0.35">
      <c r="A8" s="1" t="s">
        <v>103</v>
      </c>
      <c r="B8" s="2" t="s">
        <v>104</v>
      </c>
      <c r="C8" s="48">
        <v>68038</v>
      </c>
      <c r="D8" s="48">
        <v>246445</v>
      </c>
      <c r="E8" s="48">
        <v>157123</v>
      </c>
      <c r="F8" s="48">
        <v>35263</v>
      </c>
      <c r="G8" s="48">
        <v>193698</v>
      </c>
      <c r="H8" s="48">
        <v>66543</v>
      </c>
      <c r="I8" s="48">
        <v>337269</v>
      </c>
      <c r="J8" s="48">
        <v>191016</v>
      </c>
      <c r="K8" s="48">
        <v>246696</v>
      </c>
    </row>
    <row r="9" spans="1:11" s="1" customFormat="1" x14ac:dyDescent="0.35">
      <c r="A9" s="1" t="s">
        <v>124</v>
      </c>
      <c r="B9" s="2" t="s">
        <v>125</v>
      </c>
      <c r="C9" s="48"/>
      <c r="D9" s="48"/>
      <c r="E9" s="48"/>
      <c r="F9" s="48"/>
      <c r="G9" s="48"/>
      <c r="H9" s="48"/>
      <c r="I9" s="48"/>
      <c r="J9" s="48"/>
      <c r="K9" s="48"/>
    </row>
    <row r="10" spans="1:11" s="1" customFormat="1" ht="15" thickBot="1" x14ac:dyDescent="0.4">
      <c r="B10" s="43" t="s">
        <v>126</v>
      </c>
      <c r="C10" s="9">
        <f>C8-C9</f>
        <v>68038</v>
      </c>
      <c r="D10" s="9">
        <f t="shared" ref="D10:K10" si="0">D8-D9</f>
        <v>246445</v>
      </c>
      <c r="E10" s="9">
        <f t="shared" si="0"/>
        <v>157123</v>
      </c>
      <c r="F10" s="9">
        <f t="shared" si="0"/>
        <v>35263</v>
      </c>
      <c r="G10" s="9">
        <f t="shared" si="0"/>
        <v>193698</v>
      </c>
      <c r="H10" s="9">
        <f t="shared" si="0"/>
        <v>66543</v>
      </c>
      <c r="I10" s="9">
        <f t="shared" si="0"/>
        <v>337269</v>
      </c>
      <c r="J10" s="9">
        <f t="shared" si="0"/>
        <v>191016</v>
      </c>
      <c r="K10" s="9">
        <f t="shared" si="0"/>
        <v>246696</v>
      </c>
    </row>
    <row r="11" spans="1:11" s="1" customFormat="1" ht="15" thickTop="1" x14ac:dyDescent="0.35"/>
    <row r="12" spans="1:11" s="1" customFormat="1" x14ac:dyDescent="0.35">
      <c r="B12" s="7" t="s">
        <v>105</v>
      </c>
      <c r="C12" s="42">
        <f>ROUND(C6/C10,4)</f>
        <v>2.4299999999999999E-2</v>
      </c>
      <c r="D12" s="42">
        <f t="shared" ref="D12:K12" si="1">ROUND(D6/D10,4)</f>
        <v>1.2699999999999999E-2</v>
      </c>
      <c r="E12" s="42">
        <f t="shared" si="1"/>
        <v>0.13700000000000001</v>
      </c>
      <c r="F12" s="42">
        <f t="shared" si="1"/>
        <v>1.17E-2</v>
      </c>
      <c r="G12" s="42">
        <f t="shared" si="1"/>
        <v>1.1900000000000001E-2</v>
      </c>
      <c r="H12" s="42">
        <f t="shared" si="1"/>
        <v>1.8800000000000001E-2</v>
      </c>
      <c r="I12" s="42">
        <f t="shared" si="1"/>
        <v>7.7600000000000002E-2</v>
      </c>
      <c r="J12" s="42">
        <f t="shared" si="1"/>
        <v>7.46E-2</v>
      </c>
      <c r="K12" s="42">
        <f t="shared" si="1"/>
        <v>5.4300000000000001E-2</v>
      </c>
    </row>
    <row r="14" spans="1:11" s="1" customFormat="1" x14ac:dyDescent="0.35">
      <c r="B14" s="7" t="s">
        <v>106</v>
      </c>
      <c r="C14" s="10">
        <f>IF(C12&gt;=2.5%,0,IF(C12&lt;1.5%,5,2))</f>
        <v>2</v>
      </c>
      <c r="D14" s="10">
        <f t="shared" ref="D14:K14" si="2">IF(D12&gt;=2.5%,0,IF(D12&lt;1.5%,5,2))</f>
        <v>5</v>
      </c>
      <c r="E14" s="10">
        <f t="shared" si="2"/>
        <v>0</v>
      </c>
      <c r="F14" s="10">
        <f t="shared" si="2"/>
        <v>5</v>
      </c>
      <c r="G14" s="10">
        <f t="shared" si="2"/>
        <v>5</v>
      </c>
      <c r="H14" s="10">
        <f t="shared" si="2"/>
        <v>2</v>
      </c>
      <c r="I14" s="10">
        <f t="shared" si="2"/>
        <v>0</v>
      </c>
      <c r="J14" s="10">
        <f t="shared" si="2"/>
        <v>0</v>
      </c>
      <c r="K14" s="10">
        <f t="shared" si="2"/>
        <v>0</v>
      </c>
    </row>
  </sheetData>
  <mergeCells count="3">
    <mergeCell ref="A1:K1"/>
    <mergeCell ref="A2:K2"/>
    <mergeCell ref="A3:K3"/>
  </mergeCells>
  <pageMargins left="0.7" right="0.7" top="0.75" bottom="0.75" header="0.3" footer="0.3"/>
  <pageSetup scale="86" orientation="landscape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5"/>
  <sheetViews>
    <sheetView zoomScaleNormal="100" workbookViewId="0">
      <selection activeCell="D20" sqref="D20"/>
    </sheetView>
  </sheetViews>
  <sheetFormatPr defaultRowHeight="14.5" x14ac:dyDescent="0.35"/>
  <cols>
    <col min="1" max="1" width="12.7265625" style="1" customWidth="1"/>
    <col min="2" max="2" width="31.7265625" style="1" customWidth="1"/>
    <col min="3" max="11" width="10.7265625" style="1" customWidth="1"/>
    <col min="12" max="12" width="9.1796875" style="1"/>
  </cols>
  <sheetData>
    <row r="1" spans="1:11" x14ac:dyDescent="0.35">
      <c r="A1" s="70" t="s">
        <v>112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1" customFormat="1" x14ac:dyDescent="0.35">
      <c r="A2" s="71" t="s">
        <v>113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s="1" customFormat="1" x14ac:dyDescent="0.35">
      <c r="A3" s="71" t="s">
        <v>114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5" spans="1:11" s="1" customFormat="1" x14ac:dyDescent="0.35">
      <c r="C5" s="3" t="s">
        <v>8</v>
      </c>
      <c r="D5" s="3" t="s">
        <v>9</v>
      </c>
      <c r="E5" s="3" t="s">
        <v>10</v>
      </c>
      <c r="F5" s="3" t="s">
        <v>11</v>
      </c>
      <c r="G5" s="3" t="s">
        <v>12</v>
      </c>
      <c r="H5" s="3" t="s">
        <v>13</v>
      </c>
      <c r="I5" s="3" t="s">
        <v>14</v>
      </c>
      <c r="J5" s="3" t="s">
        <v>15</v>
      </c>
      <c r="K5" s="3" t="s">
        <v>16</v>
      </c>
    </row>
    <row r="6" spans="1:11" s="1" customFormat="1" x14ac:dyDescent="0.35">
      <c r="A6" s="1" t="s">
        <v>115</v>
      </c>
      <c r="B6" s="2" t="s">
        <v>116</v>
      </c>
      <c r="C6" s="48">
        <v>18785</v>
      </c>
      <c r="D6" s="48">
        <v>19655</v>
      </c>
      <c r="E6" s="48">
        <v>42977</v>
      </c>
      <c r="F6" s="48">
        <v>24196</v>
      </c>
      <c r="G6" s="48">
        <v>33257</v>
      </c>
      <c r="H6" s="48">
        <v>12883</v>
      </c>
      <c r="I6" s="48">
        <v>6019</v>
      </c>
      <c r="J6" s="48">
        <v>23844</v>
      </c>
      <c r="K6" s="48">
        <v>14632</v>
      </c>
    </row>
    <row r="7" spans="1:11" s="1" customFormat="1" ht="29" x14ac:dyDescent="0.35">
      <c r="A7" s="1" t="s">
        <v>117</v>
      </c>
      <c r="B7" s="2" t="s">
        <v>118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</row>
    <row r="8" spans="1:11" s="1" customFormat="1" ht="15" thickBot="1" x14ac:dyDescent="0.4">
      <c r="B8" s="43" t="s">
        <v>119</v>
      </c>
      <c r="C8" s="9">
        <f>SUM(C6:C7)</f>
        <v>18785</v>
      </c>
      <c r="D8" s="9">
        <f t="shared" ref="D8:K8" si="0">SUM(D6:D7)</f>
        <v>19655</v>
      </c>
      <c r="E8" s="9">
        <f t="shared" si="0"/>
        <v>42977</v>
      </c>
      <c r="F8" s="9">
        <f t="shared" si="0"/>
        <v>24196</v>
      </c>
      <c r="G8" s="9">
        <f t="shared" si="0"/>
        <v>33257</v>
      </c>
      <c r="H8" s="9">
        <f t="shared" si="0"/>
        <v>12883</v>
      </c>
      <c r="I8" s="9">
        <f t="shared" si="0"/>
        <v>6019</v>
      </c>
      <c r="J8" s="9">
        <f t="shared" si="0"/>
        <v>23844</v>
      </c>
      <c r="K8" s="9">
        <f t="shared" si="0"/>
        <v>14632</v>
      </c>
    </row>
    <row r="9" spans="1:11" s="1" customFormat="1" ht="15" thickTop="1" x14ac:dyDescent="0.35"/>
    <row r="10" spans="1:11" s="1" customFormat="1" x14ac:dyDescent="0.35">
      <c r="A10" s="1" t="s">
        <v>43</v>
      </c>
      <c r="B10" s="2" t="s">
        <v>44</v>
      </c>
      <c r="C10" s="50">
        <f>MENAR!C19</f>
        <v>468300</v>
      </c>
      <c r="D10" s="50">
        <f>MENAR!D19</f>
        <v>603568</v>
      </c>
      <c r="E10" s="50">
        <f>MENAR!E19</f>
        <v>1001748</v>
      </c>
      <c r="F10" s="50">
        <f>MENAR!F19</f>
        <v>330082</v>
      </c>
      <c r="G10" s="50">
        <f>MENAR!G19</f>
        <v>427783</v>
      </c>
      <c r="H10" s="50">
        <f>MENAR!H19</f>
        <v>165925</v>
      </c>
      <c r="I10" s="50">
        <f>MENAR!I19</f>
        <v>450154</v>
      </c>
      <c r="J10" s="50">
        <f>MENAR!J19</f>
        <v>398366</v>
      </c>
      <c r="K10" s="50">
        <f>MENAR!K19</f>
        <v>307946</v>
      </c>
    </row>
    <row r="11" spans="1:11" s="1" customFormat="1" ht="15" thickBot="1" x14ac:dyDescent="0.4">
      <c r="B11" s="2" t="s">
        <v>60</v>
      </c>
      <c r="C11" s="9">
        <f t="shared" ref="C11:K11" si="1">ROUND(C10/12,0)</f>
        <v>39025</v>
      </c>
      <c r="D11" s="9">
        <f t="shared" si="1"/>
        <v>50297</v>
      </c>
      <c r="E11" s="9">
        <f t="shared" si="1"/>
        <v>83479</v>
      </c>
      <c r="F11" s="9">
        <f t="shared" si="1"/>
        <v>27507</v>
      </c>
      <c r="G11" s="9">
        <f t="shared" si="1"/>
        <v>35649</v>
      </c>
      <c r="H11" s="9">
        <f t="shared" si="1"/>
        <v>13827</v>
      </c>
      <c r="I11" s="9">
        <f t="shared" si="1"/>
        <v>37513</v>
      </c>
      <c r="J11" s="9">
        <f t="shared" si="1"/>
        <v>33197</v>
      </c>
      <c r="K11" s="9">
        <f t="shared" si="1"/>
        <v>25662</v>
      </c>
    </row>
    <row r="12" spans="1:11" s="1" customFormat="1" ht="15" thickTop="1" x14ac:dyDescent="0.35">
      <c r="B12" s="2"/>
    </row>
    <row r="13" spans="1:11" s="1" customFormat="1" x14ac:dyDescent="0.35">
      <c r="B13" s="7" t="s">
        <v>105</v>
      </c>
      <c r="C13" s="8">
        <f>ROUND(C6/C11,2)</f>
        <v>0.48</v>
      </c>
      <c r="D13" s="8">
        <f t="shared" ref="D13:K13" si="2">ROUND(D6/D11,2)</f>
        <v>0.39</v>
      </c>
      <c r="E13" s="8">
        <f t="shared" si="2"/>
        <v>0.51</v>
      </c>
      <c r="F13" s="8">
        <f t="shared" si="2"/>
        <v>0.88</v>
      </c>
      <c r="G13" s="8">
        <f t="shared" si="2"/>
        <v>0.93</v>
      </c>
      <c r="H13" s="8">
        <f t="shared" si="2"/>
        <v>0.93</v>
      </c>
      <c r="I13" s="8">
        <f t="shared" si="2"/>
        <v>0.16</v>
      </c>
      <c r="J13" s="8">
        <f t="shared" si="2"/>
        <v>0.72</v>
      </c>
      <c r="K13" s="8">
        <f t="shared" si="2"/>
        <v>0.56999999999999995</v>
      </c>
    </row>
    <row r="15" spans="1:11" s="1" customFormat="1" x14ac:dyDescent="0.35">
      <c r="B15" s="7" t="s">
        <v>106</v>
      </c>
      <c r="C15" s="10">
        <f>IF(C13&lt;0.75,4,IF(C13&gt;=1.5,0,2))</f>
        <v>4</v>
      </c>
      <c r="D15" s="10">
        <f t="shared" ref="D15:K15" si="3">IF(D13&lt;0.75,4,IF(D13&gt;=1.5,0,2))</f>
        <v>4</v>
      </c>
      <c r="E15" s="10">
        <f t="shared" si="3"/>
        <v>4</v>
      </c>
      <c r="F15" s="10">
        <f t="shared" si="3"/>
        <v>2</v>
      </c>
      <c r="G15" s="10">
        <f t="shared" si="3"/>
        <v>2</v>
      </c>
      <c r="H15" s="10">
        <f t="shared" si="3"/>
        <v>2</v>
      </c>
      <c r="I15" s="10">
        <f t="shared" si="3"/>
        <v>4</v>
      </c>
      <c r="J15" s="10">
        <f t="shared" si="3"/>
        <v>4</v>
      </c>
      <c r="K15" s="10">
        <f t="shared" si="3"/>
        <v>4</v>
      </c>
    </row>
  </sheetData>
  <mergeCells count="3">
    <mergeCell ref="A1:K1"/>
    <mergeCell ref="A2:K2"/>
    <mergeCell ref="A3:K3"/>
  </mergeCells>
  <pageMargins left="0.7" right="0.7" top="0.75" bottom="0.75" header="0.3" footer="0.3"/>
  <pageSetup scale="86" orientation="landscape" blackAndWhite="1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3"/>
  <sheetViews>
    <sheetView workbookViewId="0">
      <selection activeCell="K6" sqref="K6"/>
    </sheetView>
  </sheetViews>
  <sheetFormatPr defaultRowHeight="14.5" x14ac:dyDescent="0.35"/>
  <cols>
    <col min="2" max="2" width="7.81640625" bestFit="1" customWidth="1"/>
    <col min="7" max="7" width="10.1796875" bestFit="1" customWidth="1"/>
  </cols>
  <sheetData>
    <row r="1" spans="1:9" x14ac:dyDescent="0.35">
      <c r="A1" s="75" t="s">
        <v>120</v>
      </c>
      <c r="B1" s="75"/>
      <c r="C1" s="75"/>
      <c r="D1" s="75"/>
      <c r="E1" s="75"/>
      <c r="F1" s="75"/>
      <c r="G1" s="75"/>
      <c r="H1" s="75"/>
      <c r="I1" s="75"/>
    </row>
    <row r="3" spans="1:9" ht="15" customHeight="1" x14ac:dyDescent="0.35">
      <c r="A3" s="12"/>
      <c r="B3" s="15" t="s">
        <v>85</v>
      </c>
      <c r="C3" s="72" t="s">
        <v>121</v>
      </c>
      <c r="D3" s="73"/>
      <c r="E3" s="72" t="s">
        <v>122</v>
      </c>
      <c r="F3" s="74"/>
      <c r="G3" s="72" t="s">
        <v>123</v>
      </c>
      <c r="H3" s="74"/>
      <c r="I3" s="55" t="s">
        <v>84</v>
      </c>
    </row>
    <row r="4" spans="1:9" x14ac:dyDescent="0.35">
      <c r="A4" s="13" t="s">
        <v>77</v>
      </c>
      <c r="B4" s="16" t="s">
        <v>86</v>
      </c>
      <c r="C4" s="26" t="s">
        <v>78</v>
      </c>
      <c r="D4" s="27" t="s">
        <v>79</v>
      </c>
      <c r="E4" s="26" t="s">
        <v>78</v>
      </c>
      <c r="F4" s="28" t="s">
        <v>79</v>
      </c>
      <c r="G4" s="26" t="s">
        <v>78</v>
      </c>
      <c r="H4" s="28" t="s">
        <v>79</v>
      </c>
      <c r="I4" s="56" t="s">
        <v>79</v>
      </c>
    </row>
    <row r="5" spans="1:9" x14ac:dyDescent="0.35">
      <c r="A5" s="14" t="s">
        <v>8</v>
      </c>
      <c r="B5" t="s">
        <v>83</v>
      </c>
      <c r="C5" s="44">
        <f>Occupancy!C10</f>
        <v>0.98333333333333328</v>
      </c>
      <c r="D5" s="20">
        <f>Occupancy!C12</f>
        <v>16</v>
      </c>
      <c r="E5" s="44">
        <f>TAR!C12</f>
        <v>2.4299999999999999E-2</v>
      </c>
      <c r="F5" s="22">
        <f>TAR!C14</f>
        <v>2</v>
      </c>
      <c r="G5" s="18">
        <f>'A-P'!C13</f>
        <v>0.48</v>
      </c>
      <c r="H5" s="22">
        <f>'A-P'!C15</f>
        <v>4</v>
      </c>
      <c r="I5" s="24">
        <f>D5+F5+H5</f>
        <v>22</v>
      </c>
    </row>
    <row r="6" spans="1:9" x14ac:dyDescent="0.35">
      <c r="A6" s="14" t="s">
        <v>9</v>
      </c>
      <c r="B6" t="s">
        <v>83</v>
      </c>
      <c r="C6" s="44">
        <f>Occupancy!D10</f>
        <v>0.99916666666666665</v>
      </c>
      <c r="D6" s="20">
        <f>Occupancy!D12</f>
        <v>16</v>
      </c>
      <c r="E6" s="44">
        <f>TAR!D12</f>
        <v>1.2699999999999999E-2</v>
      </c>
      <c r="F6" s="22">
        <f>TAR!D14</f>
        <v>5</v>
      </c>
      <c r="G6" s="18">
        <f>'A-P'!D13</f>
        <v>0.39</v>
      </c>
      <c r="H6" s="22">
        <f>'A-P'!D15</f>
        <v>4</v>
      </c>
      <c r="I6" s="24">
        <f t="shared" ref="I6:I13" si="0">D6+F6+H6</f>
        <v>25</v>
      </c>
    </row>
    <row r="7" spans="1:9" x14ac:dyDescent="0.35">
      <c r="A7" s="14" t="s">
        <v>10</v>
      </c>
      <c r="B7" t="s">
        <v>83</v>
      </c>
      <c r="C7" s="44">
        <f>Occupancy!E10</f>
        <v>0.9</v>
      </c>
      <c r="D7" s="20">
        <f>Occupancy!E12</f>
        <v>1</v>
      </c>
      <c r="E7" s="44">
        <f>TAR!E12</f>
        <v>0.13700000000000001</v>
      </c>
      <c r="F7" s="22">
        <f>TAR!E14</f>
        <v>0</v>
      </c>
      <c r="G7" s="18">
        <f>'A-P'!E13</f>
        <v>0.51</v>
      </c>
      <c r="H7" s="22">
        <f>'A-P'!E15</f>
        <v>4</v>
      </c>
      <c r="I7" s="24">
        <f t="shared" si="0"/>
        <v>5</v>
      </c>
    </row>
    <row r="8" spans="1:9" x14ac:dyDescent="0.35">
      <c r="A8" s="14" t="s">
        <v>11</v>
      </c>
      <c r="B8" t="s">
        <v>83</v>
      </c>
      <c r="C8" s="44">
        <f>Occupancy!F10</f>
        <v>0.98533333333333328</v>
      </c>
      <c r="D8" s="20">
        <f>Occupancy!F12</f>
        <v>16</v>
      </c>
      <c r="E8" s="44">
        <f>TAR!F12</f>
        <v>1.17E-2</v>
      </c>
      <c r="F8" s="22">
        <f>TAR!F14</f>
        <v>5</v>
      </c>
      <c r="G8" s="18">
        <f>'A-P'!F13</f>
        <v>0.88</v>
      </c>
      <c r="H8" s="22">
        <f>'A-P'!F15</f>
        <v>2</v>
      </c>
      <c r="I8" s="24">
        <f t="shared" si="0"/>
        <v>23</v>
      </c>
    </row>
    <row r="9" spans="1:9" x14ac:dyDescent="0.35">
      <c r="A9" s="14" t="s">
        <v>12</v>
      </c>
      <c r="B9" t="s">
        <v>83</v>
      </c>
      <c r="C9" s="44">
        <f>Occupancy!G10</f>
        <v>0.98733333333333329</v>
      </c>
      <c r="D9" s="20">
        <f>Occupancy!G12</f>
        <v>16</v>
      </c>
      <c r="E9" s="44">
        <f>TAR!G12</f>
        <v>1.1900000000000001E-2</v>
      </c>
      <c r="F9" s="22">
        <f>TAR!G14</f>
        <v>5</v>
      </c>
      <c r="G9" s="18">
        <f>'A-P'!G13</f>
        <v>0.93</v>
      </c>
      <c r="H9" s="22">
        <f>'A-P'!G15</f>
        <v>2</v>
      </c>
      <c r="I9" s="24">
        <f t="shared" si="0"/>
        <v>23</v>
      </c>
    </row>
    <row r="10" spans="1:9" x14ac:dyDescent="0.35">
      <c r="A10" s="14" t="s">
        <v>13</v>
      </c>
      <c r="B10" t="s">
        <v>83</v>
      </c>
      <c r="C10" s="44">
        <f>Occupancy!H10</f>
        <v>0.97666666666666668</v>
      </c>
      <c r="D10" s="20">
        <f>Occupancy!H12</f>
        <v>12</v>
      </c>
      <c r="E10" s="44">
        <f>TAR!H12</f>
        <v>1.8800000000000001E-2</v>
      </c>
      <c r="F10" s="22">
        <f>TAR!H14</f>
        <v>2</v>
      </c>
      <c r="G10" s="18">
        <f>'A-P'!H13</f>
        <v>0.93</v>
      </c>
      <c r="H10" s="22">
        <f>'A-P'!H15</f>
        <v>2</v>
      </c>
      <c r="I10" s="24">
        <f t="shared" si="0"/>
        <v>16</v>
      </c>
    </row>
    <row r="11" spans="1:9" x14ac:dyDescent="0.35">
      <c r="A11" s="14" t="s">
        <v>14</v>
      </c>
      <c r="B11" t="s">
        <v>83</v>
      </c>
      <c r="C11" s="44">
        <f>Occupancy!I10</f>
        <v>0.98533333333333328</v>
      </c>
      <c r="D11" s="20">
        <f>Occupancy!I12</f>
        <v>16</v>
      </c>
      <c r="E11" s="44">
        <f>TAR!I12</f>
        <v>7.7600000000000002E-2</v>
      </c>
      <c r="F11" s="22">
        <f>TAR!I14</f>
        <v>0</v>
      </c>
      <c r="G11" s="18">
        <f>'A-P'!I13</f>
        <v>0.16</v>
      </c>
      <c r="H11" s="22">
        <f>'A-P'!I15</f>
        <v>4</v>
      </c>
      <c r="I11" s="24">
        <f t="shared" si="0"/>
        <v>20</v>
      </c>
    </row>
    <row r="12" spans="1:9" x14ac:dyDescent="0.35">
      <c r="A12" s="14" t="s">
        <v>15</v>
      </c>
      <c r="B12" t="s">
        <v>83</v>
      </c>
      <c r="C12" s="44">
        <f>Occupancy!J10</f>
        <v>0.9782312925170068</v>
      </c>
      <c r="D12" s="20">
        <f>Occupancy!J12</f>
        <v>12</v>
      </c>
      <c r="E12" s="44">
        <f>TAR!J12</f>
        <v>7.46E-2</v>
      </c>
      <c r="F12" s="22">
        <f>TAR!J14</f>
        <v>0</v>
      </c>
      <c r="G12" s="18">
        <f>'A-P'!J13</f>
        <v>0.72</v>
      </c>
      <c r="H12" s="22">
        <f>'A-P'!J15</f>
        <v>4</v>
      </c>
      <c r="I12" s="24">
        <f t="shared" si="0"/>
        <v>16</v>
      </c>
    </row>
    <row r="13" spans="1:9" x14ac:dyDescent="0.35">
      <c r="A13" s="16" t="s">
        <v>16</v>
      </c>
      <c r="B13" s="17" t="s">
        <v>83</v>
      </c>
      <c r="C13" s="45">
        <f>Occupancy!K10</f>
        <v>0.96553884711779447</v>
      </c>
      <c r="D13" s="21">
        <f>Occupancy!K12</f>
        <v>12</v>
      </c>
      <c r="E13" s="45">
        <f>TAR!K12</f>
        <v>5.4300000000000001E-2</v>
      </c>
      <c r="F13" s="23">
        <f>TAR!K14</f>
        <v>0</v>
      </c>
      <c r="G13" s="19">
        <f>'A-P'!K13</f>
        <v>0.56999999999999995</v>
      </c>
      <c r="H13" s="23">
        <f>'A-P'!K15</f>
        <v>4</v>
      </c>
      <c r="I13" s="25">
        <f t="shared" si="0"/>
        <v>16</v>
      </c>
    </row>
  </sheetData>
  <sheetProtection algorithmName="SHA-512" hashValue="c1hJiyqWbvvJC8Ej/NSkRQ+6aAETdpAGZBVS0dAOHXv0fsUs1CYiOtgY7YqXi2mjojbHlDxevUQXou9Cn8BAbg==" saltValue="cCNZCrhL7ei8O3gYq+8x+A==" spinCount="100000" sheet="1" objects="1" scenarios="1"/>
  <mergeCells count="4">
    <mergeCell ref="A1:I1"/>
    <mergeCell ref="C3:D3"/>
    <mergeCell ref="E3:F3"/>
    <mergeCell ref="G3:H3"/>
  </mergeCells>
  <pageMargins left="0.7" right="0.7" top="0.75" bottom="0.75" header="0.3" footer="0.3"/>
  <pageSetup scale="86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Quick Ratio</vt:lpstr>
      <vt:lpstr>MENAR</vt:lpstr>
      <vt:lpstr>DSCR</vt:lpstr>
      <vt:lpstr>Score Summary - FASS</vt:lpstr>
      <vt:lpstr>PHA Score - FASS</vt:lpstr>
      <vt:lpstr>Occupancy</vt:lpstr>
      <vt:lpstr>TAR</vt:lpstr>
      <vt:lpstr>A-P</vt:lpstr>
      <vt:lpstr>Score Summary - MASS</vt:lpstr>
      <vt:lpstr>PHA Score - MASS</vt:lpstr>
      <vt:lpstr>'A-P'!Print_Area</vt:lpstr>
      <vt:lpstr>DSCR!Print_Area</vt:lpstr>
      <vt:lpstr>MENAR!Print_Area</vt:lpstr>
      <vt:lpstr>Occupancy!Print_Area</vt:lpstr>
      <vt:lpstr>TAR!Print_Area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PHAS Indicator Calculations Worksheet Example</dc:title>
  <dc:subject>PHAS Indicators </dc:subject>
  <dc:creator>HUD</dc:creator>
  <dc:description>Created as tool to review interim FAAS &amp; MASS indicator calculations
See Ron Moen with questions</dc:description>
  <cp:lastModifiedBy>Juburi, Lujane</cp:lastModifiedBy>
  <cp:lastPrinted>2021-11-29T13:20:59Z</cp:lastPrinted>
  <dcterms:created xsi:type="dcterms:W3CDTF">2011-08-11T15:09:38Z</dcterms:created>
  <dcterms:modified xsi:type="dcterms:W3CDTF">2021-12-21T19:31:35Z</dcterms:modified>
  <cp:category>PHAS</cp:category>
  <cp:contentStatus>Ready</cp:contentStatus>
</cp:coreProperties>
</file>