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9972\Downloads\"/>
    </mc:Choice>
  </mc:AlternateContent>
  <xr:revisionPtr revIDLastSave="0" documentId="13_ncr:1_{78F352D5-5E63-431B-8084-B8ED3C575DA2}" xr6:coauthVersionLast="47" xr6:coauthVersionMax="47" xr10:uidLastSave="{00000000-0000-0000-0000-000000000000}"/>
  <bookViews>
    <workbookView xWindow="1515" yWindow="1515" windowWidth="22545" windowHeight="13905" tabRatio="924" firstSheet="2" activeTab="4" xr2:uid="{00000000-000D-0000-FFFF-FFFF00000000}"/>
  </bookViews>
  <sheets>
    <sheet name="APEstimatedPIRL" sheetId="3" r:id="rId1"/>
    <sheet name="APNarratives" sheetId="1" r:id="rId2"/>
    <sheet name="APFundingSource" sheetId="2" r:id="rId3"/>
    <sheet name="ActivityAdd" sheetId="4" r:id="rId4"/>
    <sheet name="ActivityEdit" sheetId="5" r:id="rId5"/>
    <sheet name="ActivityFundingSource" sheetId="6" r:id="rId6"/>
    <sheet name="ActivityResponsibleOrgBudget" sheetId="7" r:id="rId7"/>
    <sheet name="ActivityAccomplishment" sheetId="8" r:id="rId8"/>
    <sheet name="ActivityBeneficiary" sheetId="9" r:id="rId9"/>
    <sheet name="ActivityAddress" sheetId="10" r:id="rId10"/>
    <sheet name="ProjectAdd" sheetId="11" r:id="rId11"/>
    <sheet name="ProjectEdit" sheetId="12" r:id="rId12"/>
    <sheet name="ResponsibleOrgAdd" sheetId="13" r:id="rId13"/>
    <sheet name="ResponsibleOrgEdit" sheetId="14" r:id="rId14"/>
    <sheet name="ResponsibleOrgContactData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6" i="5" l="1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8" i="5"/>
  <c r="A7" i="5"/>
  <c r="A6" i="5"/>
  <c r="A5" i="5"/>
  <c r="A4" i="5"/>
  <c r="A3" i="5"/>
  <c r="A2" i="5"/>
  <c r="A62" i="15" l="1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8" i="14"/>
  <c r="A7" i="14"/>
  <c r="A6" i="14"/>
  <c r="A5" i="14"/>
  <c r="A4" i="14"/>
  <c r="A3" i="14"/>
  <c r="A2" i="14"/>
  <c r="A2" i="13"/>
  <c r="A3" i="13"/>
  <c r="A4" i="13"/>
  <c r="A5" i="13"/>
  <c r="A6" i="13"/>
  <c r="A7" i="13"/>
  <c r="A8" i="13"/>
  <c r="B3" i="12"/>
  <c r="B2" i="12"/>
  <c r="B3" i="11"/>
  <c r="B2" i="11"/>
  <c r="A2" i="10" l="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B10" i="5"/>
  <c r="B9" i="5"/>
  <c r="B8" i="5"/>
  <c r="B7" i="5"/>
  <c r="B6" i="5"/>
  <c r="B5" i="5"/>
  <c r="C5" i="5"/>
  <c r="B4" i="5"/>
  <c r="D4" i="5"/>
  <c r="C4" i="5"/>
  <c r="B3" i="5"/>
  <c r="D3" i="5"/>
  <c r="C3" i="5"/>
  <c r="B2" i="5"/>
  <c r="D2" i="5"/>
  <c r="C2" i="5"/>
  <c r="D4" i="4"/>
  <c r="D3" i="4"/>
  <c r="D2" i="4"/>
  <c r="C2" i="4"/>
  <c r="C3" i="4"/>
  <c r="C4" i="4"/>
  <c r="C5" i="4"/>
  <c r="B2" i="4"/>
  <c r="B3" i="4"/>
  <c r="B4" i="4"/>
  <c r="B5" i="4"/>
  <c r="B6" i="4"/>
  <c r="B7" i="4"/>
  <c r="B8" i="4"/>
  <c r="B9" i="4"/>
  <c r="B10" i="4"/>
  <c r="A2" i="4"/>
  <c r="A3" i="4"/>
  <c r="A4" i="4"/>
  <c r="A5" i="4"/>
  <c r="A6" i="4"/>
  <c r="A7" i="4"/>
  <c r="A8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</calcChain>
</file>

<file path=xl/sharedStrings.xml><?xml version="1.0" encoding="utf-8"?>
<sst xmlns="http://schemas.openxmlformats.org/spreadsheetml/2006/main" count="64" uniqueCount="34">
  <si>
    <t>NarrativeLabel</t>
  </si>
  <si>
    <t>Disaster Damage</t>
  </si>
  <si>
    <t>Recovery Needs</t>
  </si>
  <si>
    <t>FundType</t>
  </si>
  <si>
    <t>ActivityType</t>
  </si>
  <si>
    <t>NationalObjective</t>
  </si>
  <si>
    <t>ActivityStatus</t>
  </si>
  <si>
    <t>EnvironmentalAssessment</t>
  </si>
  <si>
    <t>BenefitType</t>
  </si>
  <si>
    <t>HousingUnit</t>
  </si>
  <si>
    <t>Acquisition, construction,reconstruction of public facilities</t>
  </si>
  <si>
    <t>RIF - Community Resident Training, Education and Support Services</t>
  </si>
  <si>
    <t>AdjustProjectBudget</t>
  </si>
  <si>
    <t>Yes</t>
  </si>
  <si>
    <t>No</t>
  </si>
  <si>
    <t>MatchingFund</t>
  </si>
  <si>
    <t>PerformanceMeasure</t>
  </si>
  <si>
    <t>STATE</t>
  </si>
  <si>
    <t>no reference fields</t>
  </si>
  <si>
    <t>RevolvingLoan</t>
  </si>
  <si>
    <t>ProjectStatus</t>
  </si>
  <si>
    <t>Org Type</t>
  </si>
  <si>
    <t>No Reference fields</t>
  </si>
  <si>
    <t>Area Benefit - Census</t>
  </si>
  <si>
    <t>Area Benefit - Survey</t>
  </si>
  <si>
    <t>Direct Benefit - Persons</t>
  </si>
  <si>
    <t>Direct Benefit - HH</t>
  </si>
  <si>
    <t>Direct Benefit - HH - Renter</t>
  </si>
  <si>
    <t>Direct Benefit - HH -  Owner</t>
  </si>
  <si>
    <t>Direct Benefit - HH - Renter/Owner</t>
  </si>
  <si>
    <t>Housing Units</t>
  </si>
  <si>
    <t>Housing Units - Single Family</t>
  </si>
  <si>
    <t>Housing Units - Multi Family</t>
  </si>
  <si>
    <t>Housing Units - Single/Multi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</si>
</sst>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opLeftCell="D1" workbookViewId="0">
      <selection activeCell="D2" sqref="D2"/>
    </sheetView>
  </sheetViews>
  <sheetFormatPr defaultRowHeight="15" x14ac:dyDescent="0.25"/>
  <sheetData>
    <row r="1" spans="1:4" x14ac:dyDescent="0.25">
      <c r="A1" t="s">
        <v>18</v>
      </c>
      <c r="D1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62"/>
  <sheetViews>
    <sheetView workbookViewId="0">
      <selection sqref="A1:A1048576"/>
    </sheetView>
  </sheetViews>
  <sheetFormatPr defaultRowHeight="15" x14ac:dyDescent="0.25"/>
  <sheetData>
    <row r="1" spans="1:1" x14ac:dyDescent="0.25">
      <c r="A1" s="1" t="s">
        <v>17</v>
      </c>
    </row>
    <row r="2" spans="1:1" x14ac:dyDescent="0.25">
      <c r="A2" t="str">
        <f>"AK"</f>
        <v>AK</v>
      </c>
    </row>
    <row r="3" spans="1:1" x14ac:dyDescent="0.25">
      <c r="A3" t="str">
        <f>"AL"</f>
        <v>AL</v>
      </c>
    </row>
    <row r="4" spans="1:1" x14ac:dyDescent="0.25">
      <c r="A4" t="str">
        <f>"AR"</f>
        <v>AR</v>
      </c>
    </row>
    <row r="5" spans="1:1" x14ac:dyDescent="0.25">
      <c r="A5" t="str">
        <f>"AS"</f>
        <v>AS</v>
      </c>
    </row>
    <row r="6" spans="1:1" x14ac:dyDescent="0.25">
      <c r="A6" t="str">
        <f>"AZ"</f>
        <v>AZ</v>
      </c>
    </row>
    <row r="7" spans="1:1" x14ac:dyDescent="0.25">
      <c r="A7" t="str">
        <f>"CA"</f>
        <v>CA</v>
      </c>
    </row>
    <row r="8" spans="1:1" x14ac:dyDescent="0.25">
      <c r="A8" t="str">
        <f>"CO"</f>
        <v>CO</v>
      </c>
    </row>
    <row r="9" spans="1:1" x14ac:dyDescent="0.25">
      <c r="A9" t="str">
        <f>"CT"</f>
        <v>CT</v>
      </c>
    </row>
    <row r="10" spans="1:1" x14ac:dyDescent="0.25">
      <c r="A10" t="str">
        <f>"DC"</f>
        <v>DC</v>
      </c>
    </row>
    <row r="11" spans="1:1" x14ac:dyDescent="0.25">
      <c r="A11" t="str">
        <f>"DE"</f>
        <v>DE</v>
      </c>
    </row>
    <row r="12" spans="1:1" x14ac:dyDescent="0.25">
      <c r="A12" t="str">
        <f>"FL"</f>
        <v>FL</v>
      </c>
    </row>
    <row r="13" spans="1:1" x14ac:dyDescent="0.25">
      <c r="A13" t="str">
        <f>"FM"</f>
        <v>FM</v>
      </c>
    </row>
    <row r="14" spans="1:1" x14ac:dyDescent="0.25">
      <c r="A14" t="str">
        <f>"GA"</f>
        <v>GA</v>
      </c>
    </row>
    <row r="15" spans="1:1" x14ac:dyDescent="0.25">
      <c r="A15" t="str">
        <f>"GU"</f>
        <v>GU</v>
      </c>
    </row>
    <row r="16" spans="1:1" x14ac:dyDescent="0.25">
      <c r="A16" t="str">
        <f>"HI"</f>
        <v>HI</v>
      </c>
    </row>
    <row r="17" spans="1:1" x14ac:dyDescent="0.25">
      <c r="A17" t="str">
        <f>"IA"</f>
        <v>IA</v>
      </c>
    </row>
    <row r="18" spans="1:1" x14ac:dyDescent="0.25">
      <c r="A18" t="str">
        <f>"ID"</f>
        <v>ID</v>
      </c>
    </row>
    <row r="19" spans="1:1" x14ac:dyDescent="0.25">
      <c r="A19" t="str">
        <f>"IL"</f>
        <v>IL</v>
      </c>
    </row>
    <row r="20" spans="1:1" x14ac:dyDescent="0.25">
      <c r="A20" t="str">
        <f>"IN"</f>
        <v>IN</v>
      </c>
    </row>
    <row r="21" spans="1:1" x14ac:dyDescent="0.25">
      <c r="A21" t="str">
        <f>"KS"</f>
        <v>KS</v>
      </c>
    </row>
    <row r="22" spans="1:1" x14ac:dyDescent="0.25">
      <c r="A22" t="str">
        <f>"KY"</f>
        <v>KY</v>
      </c>
    </row>
    <row r="23" spans="1:1" x14ac:dyDescent="0.25">
      <c r="A23" t="str">
        <f>"LA"</f>
        <v>LA</v>
      </c>
    </row>
    <row r="24" spans="1:1" x14ac:dyDescent="0.25">
      <c r="A24" t="str">
        <f>"MA"</f>
        <v>MA</v>
      </c>
    </row>
    <row r="25" spans="1:1" x14ac:dyDescent="0.25">
      <c r="A25" t="str">
        <f>"MD"</f>
        <v>MD</v>
      </c>
    </row>
    <row r="26" spans="1:1" x14ac:dyDescent="0.25">
      <c r="A26" t="str">
        <f>"ME"</f>
        <v>ME</v>
      </c>
    </row>
    <row r="27" spans="1:1" x14ac:dyDescent="0.25">
      <c r="A27" t="str">
        <f>"MH"</f>
        <v>MH</v>
      </c>
    </row>
    <row r="28" spans="1:1" x14ac:dyDescent="0.25">
      <c r="A28" t="str">
        <f>"MI"</f>
        <v>MI</v>
      </c>
    </row>
    <row r="29" spans="1:1" x14ac:dyDescent="0.25">
      <c r="A29" t="str">
        <f>"MN"</f>
        <v>MN</v>
      </c>
    </row>
    <row r="30" spans="1:1" x14ac:dyDescent="0.25">
      <c r="A30" t="str">
        <f>"MO"</f>
        <v>MO</v>
      </c>
    </row>
    <row r="31" spans="1:1" x14ac:dyDescent="0.25">
      <c r="A31" t="str">
        <f>"MP"</f>
        <v>MP</v>
      </c>
    </row>
    <row r="32" spans="1:1" x14ac:dyDescent="0.25">
      <c r="A32" t="str">
        <f>"MS"</f>
        <v>MS</v>
      </c>
    </row>
    <row r="33" spans="1:1" x14ac:dyDescent="0.25">
      <c r="A33" t="str">
        <f>"MT"</f>
        <v>MT</v>
      </c>
    </row>
    <row r="34" spans="1:1" x14ac:dyDescent="0.25">
      <c r="A34" t="str">
        <f>"NA"</f>
        <v>NA</v>
      </c>
    </row>
    <row r="35" spans="1:1" x14ac:dyDescent="0.25">
      <c r="A35" t="str">
        <f>"NC"</f>
        <v>NC</v>
      </c>
    </row>
    <row r="36" spans="1:1" x14ac:dyDescent="0.25">
      <c r="A36" t="str">
        <f>"ND"</f>
        <v>ND</v>
      </c>
    </row>
    <row r="37" spans="1:1" x14ac:dyDescent="0.25">
      <c r="A37" t="str">
        <f>"NE"</f>
        <v>NE</v>
      </c>
    </row>
    <row r="38" spans="1:1" x14ac:dyDescent="0.25">
      <c r="A38" t="str">
        <f>"NH"</f>
        <v>NH</v>
      </c>
    </row>
    <row r="39" spans="1:1" x14ac:dyDescent="0.25">
      <c r="A39" t="str">
        <f>"NJ"</f>
        <v>NJ</v>
      </c>
    </row>
    <row r="40" spans="1:1" x14ac:dyDescent="0.25">
      <c r="A40" t="str">
        <f>"NM"</f>
        <v>NM</v>
      </c>
    </row>
    <row r="41" spans="1:1" x14ac:dyDescent="0.25">
      <c r="A41" t="str">
        <f>"NV"</f>
        <v>NV</v>
      </c>
    </row>
    <row r="42" spans="1:1" x14ac:dyDescent="0.25">
      <c r="A42" t="str">
        <f>"NY"</f>
        <v>NY</v>
      </c>
    </row>
    <row r="43" spans="1:1" x14ac:dyDescent="0.25">
      <c r="A43" t="str">
        <f>"OH"</f>
        <v>OH</v>
      </c>
    </row>
    <row r="44" spans="1:1" x14ac:dyDescent="0.25">
      <c r="A44" t="str">
        <f>"OK"</f>
        <v>OK</v>
      </c>
    </row>
    <row r="45" spans="1:1" x14ac:dyDescent="0.25">
      <c r="A45" t="str">
        <f>"OR"</f>
        <v>OR</v>
      </c>
    </row>
    <row r="46" spans="1:1" x14ac:dyDescent="0.25">
      <c r="A46" t="str">
        <f>"PA"</f>
        <v>PA</v>
      </c>
    </row>
    <row r="47" spans="1:1" x14ac:dyDescent="0.25">
      <c r="A47" t="str">
        <f>"PR"</f>
        <v>PR</v>
      </c>
    </row>
    <row r="48" spans="1:1" x14ac:dyDescent="0.25">
      <c r="A48" t="str">
        <f>"PW"</f>
        <v>PW</v>
      </c>
    </row>
    <row r="49" spans="1:1" x14ac:dyDescent="0.25">
      <c r="A49" t="str">
        <f>"RI"</f>
        <v>RI</v>
      </c>
    </row>
    <row r="50" spans="1:1" x14ac:dyDescent="0.25">
      <c r="A50" t="str">
        <f>"SC"</f>
        <v>SC</v>
      </c>
    </row>
    <row r="51" spans="1:1" x14ac:dyDescent="0.25">
      <c r="A51" t="str">
        <f>"SD"</f>
        <v>SD</v>
      </c>
    </row>
    <row r="52" spans="1:1" x14ac:dyDescent="0.25">
      <c r="A52" t="str">
        <f>"TN"</f>
        <v>TN</v>
      </c>
    </row>
    <row r="53" spans="1:1" x14ac:dyDescent="0.25">
      <c r="A53" t="str">
        <f>"TX"</f>
        <v>TX</v>
      </c>
    </row>
    <row r="54" spans="1:1" x14ac:dyDescent="0.25">
      <c r="A54" t="str">
        <f>"UM"</f>
        <v>UM</v>
      </c>
    </row>
    <row r="55" spans="1:1" x14ac:dyDescent="0.25">
      <c r="A55" t="str">
        <f>"UT"</f>
        <v>UT</v>
      </c>
    </row>
    <row r="56" spans="1:1" x14ac:dyDescent="0.25">
      <c r="A56" t="str">
        <f>"VA"</f>
        <v>VA</v>
      </c>
    </row>
    <row r="57" spans="1:1" x14ac:dyDescent="0.25">
      <c r="A57" t="str">
        <f>"VI"</f>
        <v>VI</v>
      </c>
    </row>
    <row r="58" spans="1:1" x14ac:dyDescent="0.25">
      <c r="A58" t="str">
        <f>"VT"</f>
        <v>VT</v>
      </c>
    </row>
    <row r="59" spans="1:1" x14ac:dyDescent="0.25">
      <c r="A59" t="str">
        <f>"WA"</f>
        <v>WA</v>
      </c>
    </row>
    <row r="60" spans="1:1" x14ac:dyDescent="0.25">
      <c r="A60" t="str">
        <f>"WI"</f>
        <v>WI</v>
      </c>
    </row>
    <row r="61" spans="1:1" x14ac:dyDescent="0.25">
      <c r="A61" t="str">
        <f>"WV"</f>
        <v>WV</v>
      </c>
    </row>
    <row r="62" spans="1:1" x14ac:dyDescent="0.25">
      <c r="A62" t="str">
        <f>"WY"</f>
        <v>WY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workbookViewId="0">
      <selection sqref="A1:B3"/>
    </sheetView>
  </sheetViews>
  <sheetFormatPr defaultRowHeight="15" x14ac:dyDescent="0.25"/>
  <cols>
    <col min="1" max="1" width="23.5703125" customWidth="1"/>
    <col min="2" max="2" width="23.85546875" customWidth="1"/>
  </cols>
  <sheetData>
    <row r="1" spans="1:2" x14ac:dyDescent="0.25">
      <c r="A1" s="1" t="s">
        <v>19</v>
      </c>
      <c r="B1" s="1" t="s">
        <v>20</v>
      </c>
    </row>
    <row r="2" spans="1:2" x14ac:dyDescent="0.25">
      <c r="A2" t="s">
        <v>13</v>
      </c>
      <c r="B2" t="str">
        <f>"Open"</f>
        <v>Open</v>
      </c>
    </row>
    <row r="3" spans="1:2" x14ac:dyDescent="0.25">
      <c r="A3" t="s">
        <v>14</v>
      </c>
      <c r="B3" t="str">
        <f>"Cancelled"</f>
        <v>Cancelled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"/>
  <sheetViews>
    <sheetView workbookViewId="0">
      <selection activeCell="B11" sqref="B11"/>
    </sheetView>
  </sheetViews>
  <sheetFormatPr defaultRowHeight="15" x14ac:dyDescent="0.25"/>
  <cols>
    <col min="2" max="2" width="20.7109375" customWidth="1"/>
  </cols>
  <sheetData>
    <row r="1" spans="1:2" x14ac:dyDescent="0.25">
      <c r="A1" s="1" t="s">
        <v>19</v>
      </c>
      <c r="B1" s="1" t="s">
        <v>20</v>
      </c>
    </row>
    <row r="2" spans="1:2" x14ac:dyDescent="0.25">
      <c r="A2" t="s">
        <v>13</v>
      </c>
      <c r="B2" t="str">
        <f>"Open"</f>
        <v>Open</v>
      </c>
    </row>
    <row r="3" spans="1:2" x14ac:dyDescent="0.25">
      <c r="A3" t="s">
        <v>14</v>
      </c>
      <c r="B3" t="str">
        <f>"Cancelled"</f>
        <v>Cancelled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8"/>
  <sheetViews>
    <sheetView workbookViewId="0">
      <selection sqref="A1:A8"/>
    </sheetView>
  </sheetViews>
  <sheetFormatPr defaultRowHeight="15" x14ac:dyDescent="0.25"/>
  <cols>
    <col min="1" max="1" width="24.42578125" customWidth="1"/>
  </cols>
  <sheetData>
    <row r="1" spans="1:1" x14ac:dyDescent="0.25">
      <c r="A1" s="1" t="s">
        <v>21</v>
      </c>
    </row>
    <row r="2" spans="1:1" x14ac:dyDescent="0.25">
      <c r="A2" t="str">
        <f>"For Profit"</f>
        <v>For Profit</v>
      </c>
    </row>
    <row r="3" spans="1:1" x14ac:dyDescent="0.25">
      <c r="A3" t="str">
        <f>"State"</f>
        <v>State</v>
      </c>
    </row>
    <row r="4" spans="1:1" x14ac:dyDescent="0.25">
      <c r="A4" t="str">
        <f>"Local Government"</f>
        <v>Local Government</v>
      </c>
    </row>
    <row r="5" spans="1:1" x14ac:dyDescent="0.25">
      <c r="A5" t="str">
        <f>"State Agency"</f>
        <v>State Agency</v>
      </c>
    </row>
    <row r="6" spans="1:1" x14ac:dyDescent="0.25">
      <c r="A6" t="str">
        <f>"Unknown"</f>
        <v>Unknown</v>
      </c>
    </row>
    <row r="7" spans="1:1" x14ac:dyDescent="0.25">
      <c r="A7" t="str">
        <f>"Non-Profit"</f>
        <v>Non-Profit</v>
      </c>
    </row>
    <row r="8" spans="1:1" x14ac:dyDescent="0.25">
      <c r="A8" t="str">
        <f>"TA Provider"</f>
        <v>TA Provider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8"/>
  <sheetViews>
    <sheetView workbookViewId="0">
      <selection sqref="A1:A8"/>
    </sheetView>
  </sheetViews>
  <sheetFormatPr defaultRowHeight="15" x14ac:dyDescent="0.25"/>
  <cols>
    <col min="1" max="1" width="25.7109375" customWidth="1"/>
  </cols>
  <sheetData>
    <row r="1" spans="1:1" x14ac:dyDescent="0.25">
      <c r="A1" s="1" t="s">
        <v>21</v>
      </c>
    </row>
    <row r="2" spans="1:1" x14ac:dyDescent="0.25">
      <c r="A2" t="str">
        <f>"For Profit"</f>
        <v>For Profit</v>
      </c>
    </row>
    <row r="3" spans="1:1" x14ac:dyDescent="0.25">
      <c r="A3" t="str">
        <f>"State"</f>
        <v>State</v>
      </c>
    </row>
    <row r="4" spans="1:1" x14ac:dyDescent="0.25">
      <c r="A4" t="str">
        <f>"Local Government"</f>
        <v>Local Government</v>
      </c>
    </row>
    <row r="5" spans="1:1" x14ac:dyDescent="0.25">
      <c r="A5" t="str">
        <f>"State Agency"</f>
        <v>State Agency</v>
      </c>
    </row>
    <row r="6" spans="1:1" x14ac:dyDescent="0.25">
      <c r="A6" t="str">
        <f>"Unknown"</f>
        <v>Unknown</v>
      </c>
    </row>
    <row r="7" spans="1:1" x14ac:dyDescent="0.25">
      <c r="A7" t="str">
        <f>"Non-Profit"</f>
        <v>Non-Profit</v>
      </c>
    </row>
    <row r="8" spans="1:1" x14ac:dyDescent="0.25">
      <c r="A8" t="str">
        <f>"TA Provider"</f>
        <v>TA Provider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62"/>
  <sheetViews>
    <sheetView workbookViewId="0">
      <selection activeCell="A25" sqref="A25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17</v>
      </c>
    </row>
    <row r="2" spans="1:1" x14ac:dyDescent="0.25">
      <c r="A2" t="str">
        <f>"AK"</f>
        <v>AK</v>
      </c>
    </row>
    <row r="3" spans="1:1" x14ac:dyDescent="0.25">
      <c r="A3" t="str">
        <f>"AL"</f>
        <v>AL</v>
      </c>
    </row>
    <row r="4" spans="1:1" x14ac:dyDescent="0.25">
      <c r="A4" t="str">
        <f>"AR"</f>
        <v>AR</v>
      </c>
    </row>
    <row r="5" spans="1:1" x14ac:dyDescent="0.25">
      <c r="A5" t="str">
        <f>"AS"</f>
        <v>AS</v>
      </c>
    </row>
    <row r="6" spans="1:1" x14ac:dyDescent="0.25">
      <c r="A6" t="str">
        <f>"AZ"</f>
        <v>AZ</v>
      </c>
    </row>
    <row r="7" spans="1:1" x14ac:dyDescent="0.25">
      <c r="A7" t="str">
        <f>"CA"</f>
        <v>CA</v>
      </c>
    </row>
    <row r="8" spans="1:1" x14ac:dyDescent="0.25">
      <c r="A8" t="str">
        <f>"CO"</f>
        <v>CO</v>
      </c>
    </row>
    <row r="9" spans="1:1" x14ac:dyDescent="0.25">
      <c r="A9" t="str">
        <f>"CT"</f>
        <v>CT</v>
      </c>
    </row>
    <row r="10" spans="1:1" x14ac:dyDescent="0.25">
      <c r="A10" t="str">
        <f>"DC"</f>
        <v>DC</v>
      </c>
    </row>
    <row r="11" spans="1:1" x14ac:dyDescent="0.25">
      <c r="A11" t="str">
        <f>"DE"</f>
        <v>DE</v>
      </c>
    </row>
    <row r="12" spans="1:1" x14ac:dyDescent="0.25">
      <c r="A12" t="str">
        <f>"FL"</f>
        <v>FL</v>
      </c>
    </row>
    <row r="13" spans="1:1" x14ac:dyDescent="0.25">
      <c r="A13" t="str">
        <f>"FM"</f>
        <v>FM</v>
      </c>
    </row>
    <row r="14" spans="1:1" x14ac:dyDescent="0.25">
      <c r="A14" t="str">
        <f>"GA"</f>
        <v>GA</v>
      </c>
    </row>
    <row r="15" spans="1:1" x14ac:dyDescent="0.25">
      <c r="A15" t="str">
        <f>"GU"</f>
        <v>GU</v>
      </c>
    </row>
    <row r="16" spans="1:1" x14ac:dyDescent="0.25">
      <c r="A16" t="str">
        <f>"HI"</f>
        <v>HI</v>
      </c>
    </row>
    <row r="17" spans="1:1" x14ac:dyDescent="0.25">
      <c r="A17" t="str">
        <f>"IA"</f>
        <v>IA</v>
      </c>
    </row>
    <row r="18" spans="1:1" x14ac:dyDescent="0.25">
      <c r="A18" t="str">
        <f>"ID"</f>
        <v>ID</v>
      </c>
    </row>
    <row r="19" spans="1:1" x14ac:dyDescent="0.25">
      <c r="A19" t="str">
        <f>"IL"</f>
        <v>IL</v>
      </c>
    </row>
    <row r="20" spans="1:1" x14ac:dyDescent="0.25">
      <c r="A20" t="str">
        <f>"IN"</f>
        <v>IN</v>
      </c>
    </row>
    <row r="21" spans="1:1" x14ac:dyDescent="0.25">
      <c r="A21" t="str">
        <f>"KS"</f>
        <v>KS</v>
      </c>
    </row>
    <row r="22" spans="1:1" x14ac:dyDescent="0.25">
      <c r="A22" t="str">
        <f>"KY"</f>
        <v>KY</v>
      </c>
    </row>
    <row r="23" spans="1:1" x14ac:dyDescent="0.25">
      <c r="A23" t="str">
        <f>"LA"</f>
        <v>LA</v>
      </c>
    </row>
    <row r="24" spans="1:1" x14ac:dyDescent="0.25">
      <c r="A24" t="str">
        <f>"MA"</f>
        <v>MA</v>
      </c>
    </row>
    <row r="25" spans="1:1" x14ac:dyDescent="0.25">
      <c r="A25" t="str">
        <f>"MD"</f>
        <v>MD</v>
      </c>
    </row>
    <row r="26" spans="1:1" x14ac:dyDescent="0.25">
      <c r="A26" t="str">
        <f>"ME"</f>
        <v>ME</v>
      </c>
    </row>
    <row r="27" spans="1:1" x14ac:dyDescent="0.25">
      <c r="A27" t="str">
        <f>"MH"</f>
        <v>MH</v>
      </c>
    </row>
    <row r="28" spans="1:1" x14ac:dyDescent="0.25">
      <c r="A28" t="str">
        <f>"MI"</f>
        <v>MI</v>
      </c>
    </row>
    <row r="29" spans="1:1" x14ac:dyDescent="0.25">
      <c r="A29" t="str">
        <f>"MN"</f>
        <v>MN</v>
      </c>
    </row>
    <row r="30" spans="1:1" x14ac:dyDescent="0.25">
      <c r="A30" t="str">
        <f>"MO"</f>
        <v>MO</v>
      </c>
    </row>
    <row r="31" spans="1:1" x14ac:dyDescent="0.25">
      <c r="A31" t="str">
        <f>"MP"</f>
        <v>MP</v>
      </c>
    </row>
    <row r="32" spans="1:1" x14ac:dyDescent="0.25">
      <c r="A32" t="str">
        <f>"MS"</f>
        <v>MS</v>
      </c>
    </row>
    <row r="33" spans="1:1" x14ac:dyDescent="0.25">
      <c r="A33" t="str">
        <f>"MT"</f>
        <v>MT</v>
      </c>
    </row>
    <row r="34" spans="1:1" x14ac:dyDescent="0.25">
      <c r="A34" t="str">
        <f>"NA"</f>
        <v>NA</v>
      </c>
    </row>
    <row r="35" spans="1:1" x14ac:dyDescent="0.25">
      <c r="A35" t="str">
        <f>"NC"</f>
        <v>NC</v>
      </c>
    </row>
    <row r="36" spans="1:1" x14ac:dyDescent="0.25">
      <c r="A36" t="str">
        <f>"ND"</f>
        <v>ND</v>
      </c>
    </row>
    <row r="37" spans="1:1" x14ac:dyDescent="0.25">
      <c r="A37" t="str">
        <f>"NE"</f>
        <v>NE</v>
      </c>
    </row>
    <row r="38" spans="1:1" x14ac:dyDescent="0.25">
      <c r="A38" t="str">
        <f>"NH"</f>
        <v>NH</v>
      </c>
    </row>
    <row r="39" spans="1:1" x14ac:dyDescent="0.25">
      <c r="A39" t="str">
        <f>"NJ"</f>
        <v>NJ</v>
      </c>
    </row>
    <row r="40" spans="1:1" x14ac:dyDescent="0.25">
      <c r="A40" t="str">
        <f>"NM"</f>
        <v>NM</v>
      </c>
    </row>
    <row r="41" spans="1:1" x14ac:dyDescent="0.25">
      <c r="A41" t="str">
        <f>"NV"</f>
        <v>NV</v>
      </c>
    </row>
    <row r="42" spans="1:1" x14ac:dyDescent="0.25">
      <c r="A42" t="str">
        <f>"NY"</f>
        <v>NY</v>
      </c>
    </row>
    <row r="43" spans="1:1" x14ac:dyDescent="0.25">
      <c r="A43" t="str">
        <f>"OH"</f>
        <v>OH</v>
      </c>
    </row>
    <row r="44" spans="1:1" x14ac:dyDescent="0.25">
      <c r="A44" t="str">
        <f>"OK"</f>
        <v>OK</v>
      </c>
    </row>
    <row r="45" spans="1:1" x14ac:dyDescent="0.25">
      <c r="A45" t="str">
        <f>"OR"</f>
        <v>OR</v>
      </c>
    </row>
    <row r="46" spans="1:1" x14ac:dyDescent="0.25">
      <c r="A46" t="str">
        <f>"PA"</f>
        <v>PA</v>
      </c>
    </row>
    <row r="47" spans="1:1" x14ac:dyDescent="0.25">
      <c r="A47" t="str">
        <f>"PR"</f>
        <v>PR</v>
      </c>
    </row>
    <row r="48" spans="1:1" x14ac:dyDescent="0.25">
      <c r="A48" t="str">
        <f>"PW"</f>
        <v>PW</v>
      </c>
    </row>
    <row r="49" spans="1:1" x14ac:dyDescent="0.25">
      <c r="A49" t="str">
        <f>"RI"</f>
        <v>RI</v>
      </c>
    </row>
    <row r="50" spans="1:1" x14ac:dyDescent="0.25">
      <c r="A50" t="str">
        <f>"SC"</f>
        <v>SC</v>
      </c>
    </row>
    <row r="51" spans="1:1" x14ac:dyDescent="0.25">
      <c r="A51" t="str">
        <f>"SD"</f>
        <v>SD</v>
      </c>
    </row>
    <row r="52" spans="1:1" x14ac:dyDescent="0.25">
      <c r="A52" t="str">
        <f>"TN"</f>
        <v>TN</v>
      </c>
    </row>
    <row r="53" spans="1:1" x14ac:dyDescent="0.25">
      <c r="A53" t="str">
        <f>"TX"</f>
        <v>TX</v>
      </c>
    </row>
    <row r="54" spans="1:1" x14ac:dyDescent="0.25">
      <c r="A54" t="str">
        <f>"UM"</f>
        <v>UM</v>
      </c>
    </row>
    <row r="55" spans="1:1" x14ac:dyDescent="0.25">
      <c r="A55" t="str">
        <f>"UT"</f>
        <v>UT</v>
      </c>
    </row>
    <row r="56" spans="1:1" x14ac:dyDescent="0.25">
      <c r="A56" t="str">
        <f>"VA"</f>
        <v>VA</v>
      </c>
    </row>
    <row r="57" spans="1:1" x14ac:dyDescent="0.25">
      <c r="A57" t="str">
        <f>"VI"</f>
        <v>VI</v>
      </c>
    </row>
    <row r="58" spans="1:1" x14ac:dyDescent="0.25">
      <c r="A58" t="str">
        <f>"VT"</f>
        <v>VT</v>
      </c>
    </row>
    <row r="59" spans="1:1" x14ac:dyDescent="0.25">
      <c r="A59" t="str">
        <f>"WA"</f>
        <v>WA</v>
      </c>
    </row>
    <row r="60" spans="1:1" x14ac:dyDescent="0.25">
      <c r="A60" t="str">
        <f>"WI"</f>
        <v>WI</v>
      </c>
    </row>
    <row r="61" spans="1:1" x14ac:dyDescent="0.25">
      <c r="A61" t="str">
        <f>"WV"</f>
        <v>WV</v>
      </c>
    </row>
    <row r="62" spans="1:1" x14ac:dyDescent="0.25">
      <c r="A62" t="str">
        <f>"WY"</f>
        <v>WY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XFD1"/>
    </sheetView>
  </sheetViews>
  <sheetFormatPr defaultRowHeight="15" x14ac:dyDescent="0.25"/>
  <cols>
    <col min="1" max="1" width="19.42578125" customWidth="1"/>
  </cols>
  <sheetData>
    <row r="1" spans="1:1" s="1" customFormat="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activeCell="B16" sqref="B16"/>
    </sheetView>
  </sheetViews>
  <sheetFormatPr defaultRowHeight="15" x14ac:dyDescent="0.25"/>
  <cols>
    <col min="1" max="1" width="53.7109375" customWidth="1"/>
  </cols>
  <sheetData>
    <row r="1" spans="1:1" x14ac:dyDescent="0.25">
      <c r="A1" s="1" t="s">
        <v>3</v>
      </c>
    </row>
    <row r="2" spans="1:1" x14ac:dyDescent="0.25">
      <c r="A2" t="str">
        <f>"Business Investment"</f>
        <v>Business Investment</v>
      </c>
    </row>
    <row r="3" spans="1:1" x14ac:dyDescent="0.25">
      <c r="A3" t="str">
        <f>"City Funds"</f>
        <v>City Funds</v>
      </c>
    </row>
    <row r="4" spans="1:1" x14ac:dyDescent="0.25">
      <c r="A4" t="str">
        <f>"County Funds"</f>
        <v>County Funds</v>
      </c>
    </row>
    <row r="5" spans="1:1" x14ac:dyDescent="0.25">
      <c r="A5" t="str">
        <f>"Do not select this item."</f>
        <v>Do not select this item.</v>
      </c>
    </row>
    <row r="6" spans="1:1" x14ac:dyDescent="0.25">
      <c r="A6" t="str">
        <f>"FEMA (Move to FEMA Public Assistance or FEMA Mitig"</f>
        <v>FEMA (Move to FEMA Public Assistance or FEMA Mitig</v>
      </c>
    </row>
    <row r="7" spans="1:1" x14ac:dyDescent="0.25">
      <c r="A7" t="str">
        <f>"FEMA Mitigation"</f>
        <v>FEMA Mitigation</v>
      </c>
    </row>
    <row r="8" spans="1:1" x14ac:dyDescent="0.25">
      <c r="A8" t="str">
        <f>"FEMA Public Assistance"</f>
        <v>FEMA Public Assistance</v>
      </c>
    </row>
    <row r="9" spans="1:1" x14ac:dyDescent="0.25">
      <c r="A9" t="str">
        <f>"Financial Institution Money"</f>
        <v>Financial Institution Money</v>
      </c>
    </row>
    <row r="10" spans="1:1" x14ac:dyDescent="0.25">
      <c r="A10" t="str">
        <f>"Other Federal Funds"</f>
        <v>Other Federal Funds</v>
      </c>
    </row>
    <row r="11" spans="1:1" x14ac:dyDescent="0.25">
      <c r="A11" t="str">
        <f>"Other Local Government Funds"</f>
        <v>Other Local Government Funds</v>
      </c>
    </row>
    <row r="12" spans="1:1" x14ac:dyDescent="0.25">
      <c r="A12" t="str">
        <f>"Other Private Funds"</f>
        <v>Other Private Funds</v>
      </c>
    </row>
    <row r="13" spans="1:1" x14ac:dyDescent="0.25">
      <c r="A13" t="str">
        <f>"Personal Funds"</f>
        <v>Personal Funds</v>
      </c>
    </row>
    <row r="14" spans="1:1" x14ac:dyDescent="0.25">
      <c r="A14" t="str">
        <f>"Program Income"</f>
        <v>Program Income</v>
      </c>
    </row>
    <row r="15" spans="1:1" x14ac:dyDescent="0.25">
      <c r="A15" t="str">
        <f>"Revolving Loan"</f>
        <v>Revolving Loan</v>
      </c>
    </row>
    <row r="16" spans="1:1" x14ac:dyDescent="0.25">
      <c r="A16" t="str">
        <f>"SBA"</f>
        <v>SBA</v>
      </c>
    </row>
    <row r="17" spans="1:1" x14ac:dyDescent="0.25">
      <c r="A17" t="str">
        <f>"State Funds"</f>
        <v>State Funds</v>
      </c>
    </row>
    <row r="18" spans="1:1" x14ac:dyDescent="0.25">
      <c r="A18" t="str">
        <f>"Tribal Funds"</f>
        <v>Tribal Funds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B1" workbookViewId="0">
      <selection activeCell="E2" sqref="E2:F8"/>
    </sheetView>
  </sheetViews>
  <sheetFormatPr defaultColWidth="15.28515625" defaultRowHeight="15" x14ac:dyDescent="0.25"/>
  <cols>
    <col min="1" max="1" width="54.85546875" customWidth="1"/>
    <col min="2" max="2" width="27.42578125" customWidth="1"/>
    <col min="4" max="4" width="23.28515625" customWidth="1"/>
    <col min="5" max="5" width="29.7109375" customWidth="1"/>
    <col min="6" max="6" width="30.140625" bestFit="1" customWidth="1"/>
  </cols>
  <sheetData>
    <row r="1" spans="1:6" s="1" customFormat="1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</row>
    <row r="2" spans="1:6" x14ac:dyDescent="0.25">
      <c r="A2" t="str">
        <f>"Acquisition - buyout of non-residential properties"</f>
        <v>Acquisition - buyout of non-residential properties</v>
      </c>
      <c r="B2" t="str">
        <f>"Low/Mod"</f>
        <v>Low/Mod</v>
      </c>
      <c r="C2" t="str">
        <f>"Planned"</f>
        <v>Planned</v>
      </c>
      <c r="D2" t="str">
        <f>"COMPLETED"</f>
        <v>COMPLETED</v>
      </c>
      <c r="E2" t="s">
        <v>23</v>
      </c>
      <c r="F2" t="s">
        <v>30</v>
      </c>
    </row>
    <row r="3" spans="1:6" x14ac:dyDescent="0.25">
      <c r="A3" t="str">
        <f>"Acquisition - buyout of properties (historic - DO NOT USE)"</f>
        <v>Acquisition - buyout of properties (historic - DO NOT USE)</v>
      </c>
      <c r="B3" t="str">
        <f>"N/A"</f>
        <v>N/A</v>
      </c>
      <c r="C3" t="str">
        <f>"Under Way"</f>
        <v>Under Way</v>
      </c>
      <c r="D3" t="str">
        <f>"EXEMPT"</f>
        <v>EXEMPT</v>
      </c>
      <c r="E3" t="s">
        <v>24</v>
      </c>
      <c r="F3" t="s">
        <v>31</v>
      </c>
    </row>
    <row r="4" spans="1:6" x14ac:dyDescent="0.25">
      <c r="A4" t="str">
        <f>"Acquisition - buyout of residential properties"</f>
        <v>Acquisition - buyout of residential properties</v>
      </c>
      <c r="B4" t="str">
        <f>"NSP Only - LH - 25% Set-Aside"</f>
        <v>NSP Only - LH - 25% Set-Aside</v>
      </c>
      <c r="C4" t="str">
        <f>"Cancelled"</f>
        <v>Cancelled</v>
      </c>
      <c r="D4" t="str">
        <f>"UNDERWAY"</f>
        <v>UNDERWAY</v>
      </c>
      <c r="E4" t="s">
        <v>25</v>
      </c>
      <c r="F4" t="s">
        <v>32</v>
      </c>
    </row>
    <row r="5" spans="1:6" x14ac:dyDescent="0.25">
      <c r="A5" t="str">
        <f>"Acquisition - general"</f>
        <v>Acquisition - general</v>
      </c>
      <c r="B5" t="str">
        <f>"NSP Only - LMMI"</f>
        <v>NSP Only - LMMI</v>
      </c>
      <c r="C5" t="str">
        <f>"Completed"</f>
        <v>Completed</v>
      </c>
      <c r="E5" t="s">
        <v>26</v>
      </c>
      <c r="F5" s="3" t="s">
        <v>33</v>
      </c>
    </row>
    <row r="6" spans="1:6" x14ac:dyDescent="0.25">
      <c r="A6" t="str">
        <f>"Acquisition of buildings for the general conduct of government"</f>
        <v>Acquisition of buildings for the general conduct of government</v>
      </c>
      <c r="B6" t="str">
        <f>"NSP Only - LMMJ"</f>
        <v>NSP Only - LMMJ</v>
      </c>
      <c r="E6" t="s">
        <v>27</v>
      </c>
    </row>
    <row r="7" spans="1:6" x14ac:dyDescent="0.25">
      <c r="A7" t="str">
        <f>"Acquisition of property for replacement housing"</f>
        <v>Acquisition of property for replacement housing</v>
      </c>
      <c r="B7" t="str">
        <f>"RIF"</f>
        <v>RIF</v>
      </c>
      <c r="E7" t="s">
        <v>28</v>
      </c>
    </row>
    <row r="8" spans="1:6" x14ac:dyDescent="0.25">
      <c r="A8" t="str">
        <f>"Acquisition of relocation properties"</f>
        <v>Acquisition of relocation properties</v>
      </c>
      <c r="B8" t="str">
        <f>"Slums and Blight"</f>
        <v>Slums and Blight</v>
      </c>
      <c r="E8" t="s">
        <v>29</v>
      </c>
    </row>
    <row r="9" spans="1:6" x14ac:dyDescent="0.25">
      <c r="A9" t="s">
        <v>10</v>
      </c>
      <c r="B9" t="str">
        <f>"TA"</f>
        <v>TA</v>
      </c>
    </row>
    <row r="10" spans="1:6" x14ac:dyDescent="0.25">
      <c r="A10" t="str">
        <f>"Administration"</f>
        <v>Administration</v>
      </c>
      <c r="B10" t="str">
        <f>"Urgent Need"</f>
        <v>Urgent Need</v>
      </c>
    </row>
    <row r="11" spans="1:6" x14ac:dyDescent="0.25">
      <c r="A11" t="str">
        <f>"Affordable Rental Housing"</f>
        <v>Affordable Rental Housing</v>
      </c>
    </row>
    <row r="12" spans="1:6" x14ac:dyDescent="0.25">
      <c r="A12" t="str">
        <f>"Capacity building for nonprofit or public entities"</f>
        <v>Capacity building for nonprofit or public entities</v>
      </c>
    </row>
    <row r="13" spans="1:6" x14ac:dyDescent="0.25">
      <c r="A13" t="str">
        <f>"Clearance and Demolition"</f>
        <v>Clearance and Demolition</v>
      </c>
    </row>
    <row r="14" spans="1:6" x14ac:dyDescent="0.25">
      <c r="A14" t="str">
        <f>"Code enforcement"</f>
        <v>Code enforcement</v>
      </c>
    </row>
    <row r="15" spans="1:6" x14ac:dyDescent="0.25">
      <c r="A15" t="str">
        <f>"Compensation for disaster-related losses (Louisiana and Texas)"</f>
        <v>Compensation for disaster-related losses (Louisiana and Texas)</v>
      </c>
    </row>
    <row r="16" spans="1:6" x14ac:dyDescent="0.25">
      <c r="A16" t="str">
        <f>"Construction of buildings for the general conduct of government"</f>
        <v>Construction of buildings for the general conduct of government</v>
      </c>
    </row>
    <row r="17" spans="1:1" x14ac:dyDescent="0.25">
      <c r="A17" t="str">
        <f>"Construction of new housing"</f>
        <v>Construction of new housing</v>
      </c>
    </row>
    <row r="18" spans="1:1" x14ac:dyDescent="0.25">
      <c r="A18" t="str">
        <f>"Construction of new replacement housing"</f>
        <v>Construction of new replacement housing</v>
      </c>
    </row>
    <row r="19" spans="1:1" x14ac:dyDescent="0.25">
      <c r="A19" t="str">
        <f>"Construction/reconstruction of streets"</f>
        <v>Construction/reconstruction of streets</v>
      </c>
    </row>
    <row r="20" spans="1:1" x14ac:dyDescent="0.25">
      <c r="A20" t="str">
        <f>"Construction/reconstruction of water lift stations"</f>
        <v>Construction/reconstruction of water lift stations</v>
      </c>
    </row>
    <row r="21" spans="1:1" x14ac:dyDescent="0.25">
      <c r="A21" t="str">
        <f>"Construction/reconstruction of water/sewer lines or systems"</f>
        <v>Construction/reconstruction of water/sewer lines or systems</v>
      </c>
    </row>
    <row r="22" spans="1:1" x14ac:dyDescent="0.25">
      <c r="A22" t="str">
        <f>"Debris removal"</f>
        <v>Debris removal</v>
      </c>
    </row>
    <row r="23" spans="1:1" x14ac:dyDescent="0.25">
      <c r="A23" t="str">
        <f>"Dike/dam/stream-river bank repairs"</f>
        <v>Dike/dam/stream-river bank repairs</v>
      </c>
    </row>
    <row r="24" spans="1:1" x14ac:dyDescent="0.25">
      <c r="A24" t="str">
        <f>"Disposition"</f>
        <v>Disposition</v>
      </c>
    </row>
    <row r="25" spans="1:1" x14ac:dyDescent="0.25">
      <c r="A25" t="str">
        <f>"Econ. development or recovery activity that creates/retains jobs"</f>
        <v>Econ. development or recovery activity that creates/retains jobs</v>
      </c>
    </row>
    <row r="26" spans="1:1" x14ac:dyDescent="0.25">
      <c r="A26" t="str">
        <f>"Energy conservation and renewable energy resources"</f>
        <v>Energy conservation and renewable energy resources</v>
      </c>
    </row>
    <row r="27" spans="1:1" x14ac:dyDescent="0.25">
      <c r="A27" t="str">
        <f>"Homeownership Assistance (with waiver only)"</f>
        <v>Homeownership Assistance (with waiver only)</v>
      </c>
    </row>
    <row r="28" spans="1:1" x14ac:dyDescent="0.25">
      <c r="A28" t="str">
        <f>"Homeownership Assistance to low- and moderate-income"</f>
        <v>Homeownership Assistance to low- and moderate-income</v>
      </c>
    </row>
    <row r="29" spans="1:1" x14ac:dyDescent="0.25">
      <c r="A29" t="str">
        <f>"Housing incentives to encourage resettlement"</f>
        <v>Housing incentives to encourage resettlement</v>
      </c>
    </row>
    <row r="30" spans="1:1" x14ac:dyDescent="0.25">
      <c r="A30" t="str">
        <f>"Land Banking - Acquisition (NSP Only)"</f>
        <v>Land Banking - Acquisition (NSP Only)</v>
      </c>
    </row>
    <row r="31" spans="1:1" x14ac:dyDescent="0.25">
      <c r="A31" t="str">
        <f>"Land Banking - Disposition (NSP Only)"</f>
        <v>Land Banking - Disposition (NSP Only)</v>
      </c>
    </row>
    <row r="32" spans="1:1" x14ac:dyDescent="0.25">
      <c r="A32" t="str">
        <f>"PBRA/operating (Louisiana 2006 only)"</f>
        <v>PBRA/operating (Louisiana 2006 only)</v>
      </c>
    </row>
    <row r="33" spans="1:1" x14ac:dyDescent="0.25">
      <c r="A33" t="str">
        <f>"Payment for compensation and incentives (Louisiana only)"</f>
        <v>Payment for compensation and incentives (Louisiana only)</v>
      </c>
    </row>
    <row r="34" spans="1:1" x14ac:dyDescent="0.25">
      <c r="A34" t="str">
        <f>"Payment for compensation for economic losses (WTC-only)"</f>
        <v>Payment for compensation for economic losses (WTC-only)</v>
      </c>
    </row>
    <row r="35" spans="1:1" x14ac:dyDescent="0.25">
      <c r="A35" t="str">
        <f>"Payment for homeowner compensation (Mississippi only)"</f>
        <v>Payment for homeowner compensation (Mississippi only)</v>
      </c>
    </row>
    <row r="36" spans="1:1" x14ac:dyDescent="0.25">
      <c r="A36" t="str">
        <f>"Planning"</f>
        <v>Planning</v>
      </c>
    </row>
    <row r="37" spans="1:1" x14ac:dyDescent="0.25">
      <c r="A37" t="str">
        <f>"Privately owned utilities"</f>
        <v>Privately owned utilities</v>
      </c>
    </row>
    <row r="38" spans="1:1" x14ac:dyDescent="0.25">
      <c r="A38" t="str">
        <f>"Public services"</f>
        <v>Public services</v>
      </c>
    </row>
    <row r="39" spans="1:1" x14ac:dyDescent="0.25">
      <c r="A39" t="str">
        <f>"RIF - Administration"</f>
        <v>RIF - Administration</v>
      </c>
    </row>
    <row r="40" spans="1:1" x14ac:dyDescent="0.25">
      <c r="A40" t="str">
        <f>"RIF - Commercial or Retail Construction/ Reconstruction"</f>
        <v>RIF - Commercial or Retail Construction/ Reconstruction</v>
      </c>
    </row>
    <row r="41" spans="1:1" x14ac:dyDescent="0.25">
      <c r="A41" t="str">
        <f>"RIF - Community Facilities Construction/ Reconstruction"</f>
        <v>RIF - Community Facilities Construction/ Reconstruction</v>
      </c>
    </row>
    <row r="42" spans="1:1" x14ac:dyDescent="0.25">
      <c r="A42" t="s">
        <v>11</v>
      </c>
    </row>
    <row r="43" spans="1:1" x14ac:dyDescent="0.25">
      <c r="A43" t="str">
        <f>"RIF - Construction of New Housing"</f>
        <v>RIF - Construction of New Housing</v>
      </c>
    </row>
    <row r="44" spans="1:1" x14ac:dyDescent="0.25">
      <c r="A44" t="str">
        <f>"RIF - Financial and Technical Assistance to Business"</f>
        <v>RIF - Financial and Technical Assistance to Business</v>
      </c>
    </row>
    <row r="45" spans="1:1" x14ac:dyDescent="0.25">
      <c r="A45" t="str">
        <f>"RIF - Homeownership Counseling and Education"</f>
        <v>RIF - Homeownership Counseling and Education</v>
      </c>
    </row>
    <row r="46" spans="1:1" x14ac:dyDescent="0.25">
      <c r="A46" t="str">
        <f>"RIF - Infrastructure and Public Improvements"</f>
        <v>RIF - Infrastructure and Public Improvements</v>
      </c>
    </row>
    <row r="47" spans="1:1" x14ac:dyDescent="0.25">
      <c r="A47" t="str">
        <f>"RIF - Job Training and Education for Economic and Business"</f>
        <v>RIF - Job Training and Education for Economic and Business</v>
      </c>
    </row>
    <row r="48" spans="1:1" x14ac:dyDescent="0.25">
      <c r="A48" t="str">
        <f>"RIF - Planning and Capacity Building"</f>
        <v>RIF - Planning and Capacity Building</v>
      </c>
    </row>
    <row r="49" spans="1:1" x14ac:dyDescent="0.25">
      <c r="A49" t="str">
        <f>"RIF - Rehabilitation/reconstruction of Residential Structures"</f>
        <v>RIF - Rehabilitation/reconstruction of Residential Structures</v>
      </c>
    </row>
    <row r="50" spans="1:1" x14ac:dyDescent="0.25">
      <c r="A50" t="str">
        <f>"RIF - Technical Assistance"</f>
        <v>RIF - Technical Assistance</v>
      </c>
    </row>
    <row r="51" spans="1:1" x14ac:dyDescent="0.25">
      <c r="A51" t="str">
        <f>"Rehabilitation/reconstruction of a public improvement"</f>
        <v>Rehabilitation/reconstruction of a public improvement</v>
      </c>
    </row>
    <row r="52" spans="1:1" x14ac:dyDescent="0.25">
      <c r="A52" t="str">
        <f>"Rehabilitation/reconstruction of other non-residential structures"</f>
        <v>Rehabilitation/reconstruction of other non-residential structures</v>
      </c>
    </row>
    <row r="53" spans="1:1" x14ac:dyDescent="0.25">
      <c r="A53" t="str">
        <f>"Rehabilitation/reconstruction of public facilities"</f>
        <v>Rehabilitation/reconstruction of public facilities</v>
      </c>
    </row>
    <row r="54" spans="1:1" x14ac:dyDescent="0.25">
      <c r="A54" t="str">
        <f>"Rehabilitation/reconstruction of residential structures"</f>
        <v>Rehabilitation/reconstruction of residential structures</v>
      </c>
    </row>
    <row r="55" spans="1:1" x14ac:dyDescent="0.25">
      <c r="A55" t="str">
        <f>"Rehabilition or reconstruction of structures"</f>
        <v>Rehabilition or reconstruction of structures</v>
      </c>
    </row>
    <row r="56" spans="1:1" x14ac:dyDescent="0.25">
      <c r="A56" t="str">
        <f>"Relocation payments and assistance"</f>
        <v>Relocation payments and assistance</v>
      </c>
    </row>
    <row r="57" spans="1:1" x14ac:dyDescent="0.25">
      <c r="A57" t="str">
        <f>"Residential Location Incentive Grants - (Waiver only)"</f>
        <v>Residential Location Incentive Grants - (Waiver only)</v>
      </c>
    </row>
    <row r="58" spans="1:1" x14ac:dyDescent="0.25">
      <c r="A58" t="str">
        <f>"TA - Embedded Support"</f>
        <v>TA - Embedded Support</v>
      </c>
    </row>
    <row r="59" spans="1:1" x14ac:dyDescent="0.25">
      <c r="A59" t="str">
        <f>"TA - Needs Assessment"</f>
        <v>TA - Needs Assessment</v>
      </c>
    </row>
    <row r="60" spans="1:1" x14ac:dyDescent="0.25">
      <c r="A60" t="str">
        <f>"TA - On Call Assistance"</f>
        <v>TA - On Call Assistance</v>
      </c>
    </row>
    <row r="61" spans="1:1" x14ac:dyDescent="0.25">
      <c r="A61" t="str">
        <f>"TA -Direct TA (practitioner support)"</f>
        <v>TA -Direct TA (practitioner support)</v>
      </c>
    </row>
    <row r="62" spans="1:1" x14ac:dyDescent="0.25">
      <c r="A62" t="str">
        <f>"TA Coordination"</f>
        <v>TA Coordination</v>
      </c>
    </row>
    <row r="63" spans="1:1" x14ac:dyDescent="0.25">
      <c r="A63" t="str">
        <f>"TA Delivering Workshops"</f>
        <v>TA Delivering Workshops</v>
      </c>
    </row>
    <row r="64" spans="1:1" x14ac:dyDescent="0.25">
      <c r="A64" t="str">
        <f>"TA Developing Web Products"</f>
        <v>TA Developing Web Products</v>
      </c>
    </row>
    <row r="65" spans="1:1" x14ac:dyDescent="0.25">
      <c r="A65" t="str">
        <f>"TA Developing Workshop Materials"</f>
        <v>TA Developing Workshop Materials</v>
      </c>
    </row>
    <row r="66" spans="1:1" x14ac:dyDescent="0.25">
      <c r="A66" t="str">
        <f>"TA Guidebooks/written products"</f>
        <v>TA Guidebooks/written products</v>
      </c>
    </row>
    <row r="67" spans="1:1" x14ac:dyDescent="0.25">
      <c r="A67" t="str">
        <f>"TA Lead TA Coordinator"</f>
        <v>TA Lead TA Coordinator</v>
      </c>
    </row>
    <row r="68" spans="1:1" x14ac:dyDescent="0.25">
      <c r="A68" t="str">
        <f>"TA NSP Website"</f>
        <v>TA NSP Website</v>
      </c>
    </row>
    <row r="69" spans="1:1" x14ac:dyDescent="0.25">
      <c r="A69" t="str">
        <f>"TA Other Direct TA"</f>
        <v>TA Other Direct TA</v>
      </c>
    </row>
    <row r="70" spans="1:1" x14ac:dyDescent="0.25">
      <c r="A70" t="str">
        <f>"TA Other Web TA"</f>
        <v>TA Other Web TA</v>
      </c>
    </row>
    <row r="71" spans="1:1" x14ac:dyDescent="0.25">
      <c r="A71" t="str">
        <f>"TA Other Workshops"</f>
        <v>TA Other Workshops</v>
      </c>
    </row>
    <row r="72" spans="1:1" x14ac:dyDescent="0.25">
      <c r="A72" t="str">
        <f>"TA Other Written Products"</f>
        <v>TA Other Written Products</v>
      </c>
    </row>
    <row r="73" spans="1:1" x14ac:dyDescent="0.25">
      <c r="A73" t="str">
        <f>"TA Problem Solving Clinics"</f>
        <v>TA Problem Solving Clinics</v>
      </c>
    </row>
    <row r="74" spans="1:1" x14ac:dyDescent="0.25">
      <c r="A74" t="str">
        <f>"TA Sample forms/tools/procedures"</f>
        <v>TA Sample forms/tools/procedures</v>
      </c>
    </row>
    <row r="75" spans="1:1" x14ac:dyDescent="0.25">
      <c r="A75" t="str">
        <f>"TA Train the Trainers Session"</f>
        <v>TA Train the Trainers Session</v>
      </c>
    </row>
    <row r="76" spans="1:1" x14ac:dyDescent="0.25">
      <c r="A76" t="str">
        <f>"TA Web Technology and Support"</f>
        <v>TA Web Technology and Support</v>
      </c>
    </row>
    <row r="77" spans="1:1" x14ac:dyDescent="0.25">
      <c r="A77" t="str">
        <f>"TA Web-based learning/webinars"</f>
        <v>TA Web-based learning/webinars</v>
      </c>
    </row>
    <row r="78" spans="1:1" x14ac:dyDescent="0.25">
      <c r="A78" t="str">
        <f>"TA Workshops"</f>
        <v>TA Workshops</v>
      </c>
    </row>
    <row r="79" spans="1:1" x14ac:dyDescent="0.25">
      <c r="A79" t="str">
        <f>"TA Written Products"</f>
        <v>TA Written Products</v>
      </c>
    </row>
    <row r="80" spans="1:1" x14ac:dyDescent="0.25">
      <c r="A80" t="str">
        <f>"TA peer-to-peer / innovative learning"</f>
        <v>TA peer-to-peer / innovative learning</v>
      </c>
    </row>
    <row r="81" spans="1:1" x14ac:dyDescent="0.25">
      <c r="A81" t="str">
        <f>"Technical Assistance"</f>
        <v>Technical Assistance</v>
      </c>
    </row>
    <row r="82" spans="1:1" x14ac:dyDescent="0.25">
      <c r="A82" t="str">
        <f>"Tenant based rent assistance (Louisiana 2006 ONLY)"</f>
        <v>Tenant based rent assistance (Louisiana 2006 ONLY)</v>
      </c>
    </row>
    <row r="83" spans="1:1" x14ac:dyDescent="0.25">
      <c r="A83" t="str">
        <f>"Tourism (Waiver Only)"</f>
        <v>Tourism (Waiver Only)</v>
      </c>
    </row>
    <row r="84" spans="1:1" x14ac:dyDescent="0.25">
      <c r="A84" t="str">
        <f>"Travel and Tourism per 107-117 - (WTC only)"</f>
        <v>Travel and Tourism per 107-117 - (WTC only)</v>
      </c>
    </row>
    <row r="85" spans="1:1" x14ac:dyDescent="0.25">
      <c r="A85" t="str">
        <f>"Unprogrammed Funds/Unspecified Contingency (DO NOT USE)"</f>
        <v>Unprogrammed Funds/Unspecified Contingency (DO NOT USE)</v>
      </c>
    </row>
    <row r="86" spans="1:1" x14ac:dyDescent="0.25">
      <c r="A86" t="str">
        <f>"Windpool Mitigation (Mississippi only)"</f>
        <v>Windpool Mitigation (Mississippi only)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6"/>
  <sheetViews>
    <sheetView tabSelected="1" zoomScale="80" zoomScaleNormal="80" workbookViewId="0">
      <selection activeCell="C16" sqref="C16"/>
    </sheetView>
  </sheetViews>
  <sheetFormatPr defaultColWidth="21.28515625" defaultRowHeight="15" x14ac:dyDescent="0.25"/>
  <cols>
    <col min="1" max="1" width="54.85546875" customWidth="1"/>
    <col min="2" max="2" width="28.7109375" customWidth="1"/>
    <col min="4" max="4" width="23.140625" customWidth="1"/>
    <col min="5" max="6" width="30.140625" bestFit="1" customWidth="1"/>
  </cols>
  <sheetData>
    <row r="1" spans="1:7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2" t="s">
        <v>12</v>
      </c>
    </row>
    <row r="2" spans="1:7" x14ac:dyDescent="0.25">
      <c r="A2" t="str">
        <f>"Acquisition - buyout of non-residential properties"</f>
        <v>Acquisition - buyout of non-residential properties</v>
      </c>
      <c r="B2" t="str">
        <f>"Low/Mod"</f>
        <v>Low/Mod</v>
      </c>
      <c r="C2" t="str">
        <f>"Planned"</f>
        <v>Planned</v>
      </c>
      <c r="D2" t="str">
        <f>"COMPLETED"</f>
        <v>COMPLETED</v>
      </c>
      <c r="E2" t="s">
        <v>23</v>
      </c>
      <c r="F2" t="s">
        <v>30</v>
      </c>
      <c r="G2" t="s">
        <v>13</v>
      </c>
    </row>
    <row r="3" spans="1:7" x14ac:dyDescent="0.25">
      <c r="A3" t="str">
        <f>"Acquisition - buyout of properties (historic - DO NOT USE)"</f>
        <v>Acquisition - buyout of properties (historic - DO NOT USE)</v>
      </c>
      <c r="B3" t="str">
        <f>"N/A"</f>
        <v>N/A</v>
      </c>
      <c r="C3" t="str">
        <f>"Under Way"</f>
        <v>Under Way</v>
      </c>
      <c r="D3" t="str">
        <f>"EXEMPT"</f>
        <v>EXEMPT</v>
      </c>
      <c r="E3" t="s">
        <v>24</v>
      </c>
      <c r="F3" t="s">
        <v>31</v>
      </c>
      <c r="G3" t="s">
        <v>14</v>
      </c>
    </row>
    <row r="4" spans="1:7" x14ac:dyDescent="0.25">
      <c r="A4" t="str">
        <f>"Acquisition - buyout of residential properties"</f>
        <v>Acquisition - buyout of residential properties</v>
      </c>
      <c r="B4" t="str">
        <f>"NSP Only - LH - 25% Set-Aside"</f>
        <v>NSP Only - LH - 25% Set-Aside</v>
      </c>
      <c r="C4" t="str">
        <f>"Cancelled"</f>
        <v>Cancelled</v>
      </c>
      <c r="D4" t="str">
        <f>"UNDERWAY"</f>
        <v>UNDERWAY</v>
      </c>
      <c r="E4" t="s">
        <v>25</v>
      </c>
      <c r="F4" t="s">
        <v>32</v>
      </c>
    </row>
    <row r="5" spans="1:7" x14ac:dyDescent="0.25">
      <c r="A5" t="str">
        <f>"Acquisition - general"</f>
        <v>Acquisition - general</v>
      </c>
      <c r="B5" t="str">
        <f>"NSP Only - LMMI"</f>
        <v>NSP Only - LMMI</v>
      </c>
      <c r="C5" t="str">
        <f>"Completed"</f>
        <v>Completed</v>
      </c>
      <c r="E5" t="s">
        <v>26</v>
      </c>
      <c r="F5" s="3" t="s">
        <v>33</v>
      </c>
    </row>
    <row r="6" spans="1:7" x14ac:dyDescent="0.25">
      <c r="A6" t="str">
        <f>"Acquisition of buildings for the general conduct of government"</f>
        <v>Acquisition of buildings for the general conduct of government</v>
      </c>
      <c r="B6" t="str">
        <f>"NSP Only - LMMJ"</f>
        <v>NSP Only - LMMJ</v>
      </c>
      <c r="E6" t="s">
        <v>27</v>
      </c>
    </row>
    <row r="7" spans="1:7" x14ac:dyDescent="0.25">
      <c r="A7" t="str">
        <f>"Acquisition of property for replacement housing"</f>
        <v>Acquisition of property for replacement housing</v>
      </c>
      <c r="B7" t="str">
        <f>"RIF"</f>
        <v>RIF</v>
      </c>
      <c r="E7" t="s">
        <v>28</v>
      </c>
    </row>
    <row r="8" spans="1:7" x14ac:dyDescent="0.25">
      <c r="A8" t="str">
        <f>"Acquisition of relocation properties"</f>
        <v>Acquisition of relocation properties</v>
      </c>
      <c r="B8" t="str">
        <f>"Slums and Blight"</f>
        <v>Slums and Blight</v>
      </c>
      <c r="E8" t="s">
        <v>29</v>
      </c>
    </row>
    <row r="9" spans="1:7" x14ac:dyDescent="0.25">
      <c r="A9" t="s">
        <v>10</v>
      </c>
      <c r="B9" t="str">
        <f>"TA"</f>
        <v>TA</v>
      </c>
    </row>
    <row r="10" spans="1:7" x14ac:dyDescent="0.25">
      <c r="A10" t="str">
        <f>"Administration"</f>
        <v>Administration</v>
      </c>
      <c r="B10" t="str">
        <f>"Urgent Need"</f>
        <v>Urgent Need</v>
      </c>
    </row>
    <row r="11" spans="1:7" x14ac:dyDescent="0.25">
      <c r="A11" t="str">
        <f>"Affordable Rental Housing"</f>
        <v>Affordable Rental Housing</v>
      </c>
    </row>
    <row r="12" spans="1:7" x14ac:dyDescent="0.25">
      <c r="A12" t="str">
        <f>"Capacity building for nonprofit or public entities"</f>
        <v>Capacity building for nonprofit or public entities</v>
      </c>
    </row>
    <row r="13" spans="1:7" x14ac:dyDescent="0.25">
      <c r="A13" t="str">
        <f>"Clearance and Demolition"</f>
        <v>Clearance and Demolition</v>
      </c>
    </row>
    <row r="14" spans="1:7" x14ac:dyDescent="0.25">
      <c r="A14" t="str">
        <f>"Code enforcement"</f>
        <v>Code enforcement</v>
      </c>
    </row>
    <row r="15" spans="1:7" x14ac:dyDescent="0.25">
      <c r="A15" t="str">
        <f>"Compensation for disaster-related losses (Louisiana and Texas)"</f>
        <v>Compensation for disaster-related losses (Louisiana and Texas)</v>
      </c>
    </row>
    <row r="16" spans="1:7" x14ac:dyDescent="0.25">
      <c r="A16" t="str">
        <f>"Construction of buildings for the general conduct of government"</f>
        <v>Construction of buildings for the general conduct of government</v>
      </c>
    </row>
    <row r="17" spans="1:1" x14ac:dyDescent="0.25">
      <c r="A17" t="str">
        <f>"Construction of new housing"</f>
        <v>Construction of new housing</v>
      </c>
    </row>
    <row r="18" spans="1:1" x14ac:dyDescent="0.25">
      <c r="A18" t="str">
        <f>"Construction of new replacement housing"</f>
        <v>Construction of new replacement housing</v>
      </c>
    </row>
    <row r="19" spans="1:1" x14ac:dyDescent="0.25">
      <c r="A19" t="str">
        <f>"Construction/reconstruction of streets"</f>
        <v>Construction/reconstruction of streets</v>
      </c>
    </row>
    <row r="20" spans="1:1" x14ac:dyDescent="0.25">
      <c r="A20" t="str">
        <f>"Construction/reconstruction of water lift stations"</f>
        <v>Construction/reconstruction of water lift stations</v>
      </c>
    </row>
    <row r="21" spans="1:1" x14ac:dyDescent="0.25">
      <c r="A21" t="str">
        <f>"Construction/reconstruction of water/sewer lines or systems"</f>
        <v>Construction/reconstruction of water/sewer lines or systems</v>
      </c>
    </row>
    <row r="22" spans="1:1" x14ac:dyDescent="0.25">
      <c r="A22" t="str">
        <f>"Debris removal"</f>
        <v>Debris removal</v>
      </c>
    </row>
    <row r="23" spans="1:1" x14ac:dyDescent="0.25">
      <c r="A23" t="str">
        <f>"Dike/dam/stream-river bank repairs"</f>
        <v>Dike/dam/stream-river bank repairs</v>
      </c>
    </row>
    <row r="24" spans="1:1" x14ac:dyDescent="0.25">
      <c r="A24" t="str">
        <f>"Disposition"</f>
        <v>Disposition</v>
      </c>
    </row>
    <row r="25" spans="1:1" x14ac:dyDescent="0.25">
      <c r="A25" t="str">
        <f>"Econ. development or recovery activity that creates/retains jobs"</f>
        <v>Econ. development or recovery activity that creates/retains jobs</v>
      </c>
    </row>
    <row r="26" spans="1:1" x14ac:dyDescent="0.25">
      <c r="A26" t="str">
        <f>"Energy conservation and renewable energy resources"</f>
        <v>Energy conservation and renewable energy resources</v>
      </c>
    </row>
    <row r="27" spans="1:1" x14ac:dyDescent="0.25">
      <c r="A27" t="str">
        <f>"Homeownership Assistance (with waiver only)"</f>
        <v>Homeownership Assistance (with waiver only)</v>
      </c>
    </row>
    <row r="28" spans="1:1" x14ac:dyDescent="0.25">
      <c r="A28" t="str">
        <f>"Homeownership Assistance to low- and moderate-income"</f>
        <v>Homeownership Assistance to low- and moderate-income</v>
      </c>
    </row>
    <row r="29" spans="1:1" x14ac:dyDescent="0.25">
      <c r="A29" t="str">
        <f>"Housing incentives to encourage resettlement"</f>
        <v>Housing incentives to encourage resettlement</v>
      </c>
    </row>
    <row r="30" spans="1:1" x14ac:dyDescent="0.25">
      <c r="A30" t="str">
        <f>"Land Banking - Acquisition (NSP Only)"</f>
        <v>Land Banking - Acquisition (NSP Only)</v>
      </c>
    </row>
    <row r="31" spans="1:1" x14ac:dyDescent="0.25">
      <c r="A31" t="str">
        <f>"Land Banking - Disposition (NSP Only)"</f>
        <v>Land Banking - Disposition (NSP Only)</v>
      </c>
    </row>
    <row r="32" spans="1:1" x14ac:dyDescent="0.25">
      <c r="A32" t="str">
        <f>"PBRA/operating (Louisiana 2006 only)"</f>
        <v>PBRA/operating (Louisiana 2006 only)</v>
      </c>
    </row>
    <row r="33" spans="1:1" x14ac:dyDescent="0.25">
      <c r="A33" t="str">
        <f>"Payment for compensation and incentives (Louisiana only)"</f>
        <v>Payment for compensation and incentives (Louisiana only)</v>
      </c>
    </row>
    <row r="34" spans="1:1" x14ac:dyDescent="0.25">
      <c r="A34" t="str">
        <f>"Payment for compensation for economic losses (WTC-only)"</f>
        <v>Payment for compensation for economic losses (WTC-only)</v>
      </c>
    </row>
    <row r="35" spans="1:1" x14ac:dyDescent="0.25">
      <c r="A35" t="str">
        <f>"Payment for homeowner compensation (Mississippi only)"</f>
        <v>Payment for homeowner compensation (Mississippi only)</v>
      </c>
    </row>
    <row r="36" spans="1:1" x14ac:dyDescent="0.25">
      <c r="A36" t="str">
        <f>"Planning"</f>
        <v>Planning</v>
      </c>
    </row>
    <row r="37" spans="1:1" x14ac:dyDescent="0.25">
      <c r="A37" t="str">
        <f>"Privately owned utilities"</f>
        <v>Privately owned utilities</v>
      </c>
    </row>
    <row r="38" spans="1:1" x14ac:dyDescent="0.25">
      <c r="A38" t="str">
        <f>"Public services"</f>
        <v>Public services</v>
      </c>
    </row>
    <row r="39" spans="1:1" x14ac:dyDescent="0.25">
      <c r="A39" t="str">
        <f>"RIF - Administration"</f>
        <v>RIF - Administration</v>
      </c>
    </row>
    <row r="40" spans="1:1" x14ac:dyDescent="0.25">
      <c r="A40" t="str">
        <f>"RIF - Commercial or Retail Construction/ Reconstruction"</f>
        <v>RIF - Commercial or Retail Construction/ Reconstruction</v>
      </c>
    </row>
    <row r="41" spans="1:1" x14ac:dyDescent="0.25">
      <c r="A41" t="str">
        <f>"RIF - Community Facilities Construction/ Reconstruction"</f>
        <v>RIF - Community Facilities Construction/ Reconstruction</v>
      </c>
    </row>
    <row r="42" spans="1:1" x14ac:dyDescent="0.25">
      <c r="A42" t="s">
        <v>11</v>
      </c>
    </row>
    <row r="43" spans="1:1" x14ac:dyDescent="0.25">
      <c r="A43" t="str">
        <f>"RIF - Construction of New Housing"</f>
        <v>RIF - Construction of New Housing</v>
      </c>
    </row>
    <row r="44" spans="1:1" x14ac:dyDescent="0.25">
      <c r="A44" t="str">
        <f>"RIF - Financial and Technical Assistance to Business"</f>
        <v>RIF - Financial and Technical Assistance to Business</v>
      </c>
    </row>
    <row r="45" spans="1:1" x14ac:dyDescent="0.25">
      <c r="A45" t="str">
        <f>"RIF - Homeownership Counseling and Education"</f>
        <v>RIF - Homeownership Counseling and Education</v>
      </c>
    </row>
    <row r="46" spans="1:1" x14ac:dyDescent="0.25">
      <c r="A46" t="str">
        <f>"RIF - Infrastructure and Public Improvements"</f>
        <v>RIF - Infrastructure and Public Improvements</v>
      </c>
    </row>
    <row r="47" spans="1:1" x14ac:dyDescent="0.25">
      <c r="A47" t="str">
        <f>"RIF - Job Training and Education for Economic and Business"</f>
        <v>RIF - Job Training and Education for Economic and Business</v>
      </c>
    </row>
    <row r="48" spans="1:1" x14ac:dyDescent="0.25">
      <c r="A48" t="str">
        <f>"RIF - Planning and Capacity Building"</f>
        <v>RIF - Planning and Capacity Building</v>
      </c>
    </row>
    <row r="49" spans="1:1" x14ac:dyDescent="0.25">
      <c r="A49" t="str">
        <f>"RIF - Rehabilitation/reconstruction of Residential Structures"</f>
        <v>RIF - Rehabilitation/reconstruction of Residential Structures</v>
      </c>
    </row>
    <row r="50" spans="1:1" x14ac:dyDescent="0.25">
      <c r="A50" t="str">
        <f>"RIF - Technical Assistance"</f>
        <v>RIF - Technical Assistance</v>
      </c>
    </row>
    <row r="51" spans="1:1" x14ac:dyDescent="0.25">
      <c r="A51" t="str">
        <f>"Rehabilitation/reconstruction of a public improvement"</f>
        <v>Rehabilitation/reconstruction of a public improvement</v>
      </c>
    </row>
    <row r="52" spans="1:1" x14ac:dyDescent="0.25">
      <c r="A52" t="str">
        <f>"Rehabilitation/reconstruction of other non-residential structures"</f>
        <v>Rehabilitation/reconstruction of other non-residential structures</v>
      </c>
    </row>
    <row r="53" spans="1:1" x14ac:dyDescent="0.25">
      <c r="A53" t="str">
        <f>"Rehabilitation/reconstruction of public facilities"</f>
        <v>Rehabilitation/reconstruction of public facilities</v>
      </c>
    </row>
    <row r="54" spans="1:1" x14ac:dyDescent="0.25">
      <c r="A54" t="str">
        <f>"Rehabilitation/reconstruction of residential structures"</f>
        <v>Rehabilitation/reconstruction of residential structures</v>
      </c>
    </row>
    <row r="55" spans="1:1" x14ac:dyDescent="0.25">
      <c r="A55" t="str">
        <f>"Rehabilition or reconstruction of structures"</f>
        <v>Rehabilition or reconstruction of structures</v>
      </c>
    </row>
    <row r="56" spans="1:1" x14ac:dyDescent="0.25">
      <c r="A56" t="str">
        <f>"Relocation payments and assistance"</f>
        <v>Relocation payments and assistance</v>
      </c>
    </row>
    <row r="57" spans="1:1" x14ac:dyDescent="0.25">
      <c r="A57" t="str">
        <f>"Residential Location Incentive Grants - (Waiver only)"</f>
        <v>Residential Location Incentive Grants - (Waiver only)</v>
      </c>
    </row>
    <row r="58" spans="1:1" x14ac:dyDescent="0.25">
      <c r="A58" t="str">
        <f>"TA - Embedded Support"</f>
        <v>TA - Embedded Support</v>
      </c>
    </row>
    <row r="59" spans="1:1" x14ac:dyDescent="0.25">
      <c r="A59" t="str">
        <f>"TA - Needs Assessment"</f>
        <v>TA - Needs Assessment</v>
      </c>
    </row>
    <row r="60" spans="1:1" x14ac:dyDescent="0.25">
      <c r="A60" t="str">
        <f>"TA - On Call Assistance"</f>
        <v>TA - On Call Assistance</v>
      </c>
    </row>
    <row r="61" spans="1:1" x14ac:dyDescent="0.25">
      <c r="A61" t="str">
        <f>"TA -Direct TA (practitioner support)"</f>
        <v>TA -Direct TA (practitioner support)</v>
      </c>
    </row>
    <row r="62" spans="1:1" x14ac:dyDescent="0.25">
      <c r="A62" t="str">
        <f>"TA Coordination"</f>
        <v>TA Coordination</v>
      </c>
    </row>
    <row r="63" spans="1:1" x14ac:dyDescent="0.25">
      <c r="A63" t="str">
        <f>"TA Delivering Workshops"</f>
        <v>TA Delivering Workshops</v>
      </c>
    </row>
    <row r="64" spans="1:1" x14ac:dyDescent="0.25">
      <c r="A64" t="str">
        <f>"TA Developing Web Products"</f>
        <v>TA Developing Web Products</v>
      </c>
    </row>
    <row r="65" spans="1:1" x14ac:dyDescent="0.25">
      <c r="A65" t="str">
        <f>"TA Developing Workshop Materials"</f>
        <v>TA Developing Workshop Materials</v>
      </c>
    </row>
    <row r="66" spans="1:1" x14ac:dyDescent="0.25">
      <c r="A66" t="str">
        <f>"TA Guidebooks/written products"</f>
        <v>TA Guidebooks/written products</v>
      </c>
    </row>
    <row r="67" spans="1:1" x14ac:dyDescent="0.25">
      <c r="A67" t="str">
        <f>"TA Lead TA Coordinator"</f>
        <v>TA Lead TA Coordinator</v>
      </c>
    </row>
    <row r="68" spans="1:1" x14ac:dyDescent="0.25">
      <c r="A68" t="str">
        <f>"TA NSP Website"</f>
        <v>TA NSP Website</v>
      </c>
    </row>
    <row r="69" spans="1:1" x14ac:dyDescent="0.25">
      <c r="A69" t="str">
        <f>"TA Other Direct TA"</f>
        <v>TA Other Direct TA</v>
      </c>
    </row>
    <row r="70" spans="1:1" x14ac:dyDescent="0.25">
      <c r="A70" t="str">
        <f>"TA Other Web TA"</f>
        <v>TA Other Web TA</v>
      </c>
    </row>
    <row r="71" spans="1:1" x14ac:dyDescent="0.25">
      <c r="A71" t="str">
        <f>"TA Other Workshops"</f>
        <v>TA Other Workshops</v>
      </c>
    </row>
    <row r="72" spans="1:1" x14ac:dyDescent="0.25">
      <c r="A72" t="str">
        <f>"TA Other Written Products"</f>
        <v>TA Other Written Products</v>
      </c>
    </row>
    <row r="73" spans="1:1" x14ac:dyDescent="0.25">
      <c r="A73" t="str">
        <f>"TA Problem Solving Clinics"</f>
        <v>TA Problem Solving Clinics</v>
      </c>
    </row>
    <row r="74" spans="1:1" x14ac:dyDescent="0.25">
      <c r="A74" t="str">
        <f>"TA Sample forms/tools/procedures"</f>
        <v>TA Sample forms/tools/procedures</v>
      </c>
    </row>
    <row r="75" spans="1:1" x14ac:dyDescent="0.25">
      <c r="A75" t="str">
        <f>"TA Train the Trainers Session"</f>
        <v>TA Train the Trainers Session</v>
      </c>
    </row>
    <row r="76" spans="1:1" x14ac:dyDescent="0.25">
      <c r="A76" t="str">
        <f>"TA Web Technology and Support"</f>
        <v>TA Web Technology and Support</v>
      </c>
    </row>
    <row r="77" spans="1:1" x14ac:dyDescent="0.25">
      <c r="A77" t="str">
        <f>"TA Web-based learning/webinars"</f>
        <v>TA Web-based learning/webinars</v>
      </c>
    </row>
    <row r="78" spans="1:1" x14ac:dyDescent="0.25">
      <c r="A78" t="str">
        <f>"TA Workshops"</f>
        <v>TA Workshops</v>
      </c>
    </row>
    <row r="79" spans="1:1" x14ac:dyDescent="0.25">
      <c r="A79" t="str">
        <f>"TA Written Products"</f>
        <v>TA Written Products</v>
      </c>
    </row>
    <row r="80" spans="1:1" x14ac:dyDescent="0.25">
      <c r="A80" t="str">
        <f>"TA peer-to-peer / innovative learning"</f>
        <v>TA peer-to-peer / innovative learning</v>
      </c>
    </row>
    <row r="81" spans="1:1" x14ac:dyDescent="0.25">
      <c r="A81" t="str">
        <f>"Technical Assistance"</f>
        <v>Technical Assistance</v>
      </c>
    </row>
    <row r="82" spans="1:1" x14ac:dyDescent="0.25">
      <c r="A82" t="str">
        <f>"Tenant based rent assistance (Louisiana 2006 ONLY)"</f>
        <v>Tenant based rent assistance (Louisiana 2006 ONLY)</v>
      </c>
    </row>
    <row r="83" spans="1:1" x14ac:dyDescent="0.25">
      <c r="A83" t="str">
        <f>"Tourism (Waiver Only)"</f>
        <v>Tourism (Waiver Only)</v>
      </c>
    </row>
    <row r="84" spans="1:1" x14ac:dyDescent="0.25">
      <c r="A84" t="str">
        <f>"Travel and Tourism per 107-117 - (WTC only)"</f>
        <v>Travel and Tourism per 107-117 - (WTC only)</v>
      </c>
    </row>
    <row r="85" spans="1:1" x14ac:dyDescent="0.25">
      <c r="A85" t="str">
        <f>"Unprogrammed Funds/Unspecified Contingency (DO NOT USE)"</f>
        <v>Unprogrammed Funds/Unspecified Contingency (DO NOT USE)</v>
      </c>
    </row>
    <row r="86" spans="1:1" x14ac:dyDescent="0.25">
      <c r="A86" t="str">
        <f>"Windpool Mitigation (Mississippi only)"</f>
        <v>Windpool Mitigation (Mississippi only)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5" sqref="A5"/>
    </sheetView>
  </sheetViews>
  <sheetFormatPr defaultRowHeight="15" x14ac:dyDescent="0.25"/>
  <cols>
    <col min="1" max="1" width="26.5703125" customWidth="1"/>
  </cols>
  <sheetData>
    <row r="1" spans="1:1" x14ac:dyDescent="0.25">
      <c r="A1" s="2" t="s">
        <v>15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1"/>
  <sheetViews>
    <sheetView workbookViewId="0">
      <selection activeCell="A11" sqref="A11"/>
    </sheetView>
  </sheetViews>
  <sheetFormatPr defaultRowHeight="15" x14ac:dyDescent="0.25"/>
  <cols>
    <col min="1" max="1" width="77.28515625" customWidth="1"/>
  </cols>
  <sheetData>
    <row r="1" spans="1:1" x14ac:dyDescent="0.25">
      <c r="A1" s="2" t="s">
        <v>16</v>
      </c>
    </row>
    <row r="2" spans="1:1" x14ac:dyDescent="0.25">
      <c r="A2" t="str">
        <f>"Total acquisition compensation to owners"</f>
        <v>Total acquisition compensation to owners</v>
      </c>
    </row>
    <row r="3" spans="1:1" x14ac:dyDescent="0.25">
      <c r="A3" t="str">
        <f>"Total Visitor Spending"</f>
        <v>Total Visitor Spending</v>
      </c>
    </row>
    <row r="4" spans="1:1" x14ac:dyDescent="0.25">
      <c r="A4" t="str">
        <f>"Number of new visitors attracted"</f>
        <v>Number of new visitors attracted</v>
      </c>
    </row>
    <row r="5" spans="1:1" x14ac:dyDescent="0.25">
      <c r="A5" t="str">
        <f>"Hours Maintaining Banked Properties"</f>
        <v>Hours Maintaining Banked Properties</v>
      </c>
    </row>
    <row r="6" spans="1:1" x14ac:dyDescent="0.25">
      <c r="A6" t="str">
        <f>"Activity funds eligible for DREF (Ike Only)"</f>
        <v>Activity funds eligible for DREF (Ike Only)</v>
      </c>
    </row>
    <row r="7" spans="1:1" x14ac:dyDescent="0.25">
      <c r="A7" t="str">
        <f>"$ of Loans Provided for Rehabilitation or Retrofit of Commercial/Retail"</f>
        <v>$ of Loans Provided for Rehabilitation or Retrofit of Commercial/Retail</v>
      </c>
    </row>
    <row r="8" spans="1:1" x14ac:dyDescent="0.25">
      <c r="A8" t="str">
        <f>"$ of Loans Provided for New Commercial/Retail Construction"</f>
        <v>$ of Loans Provided for New Commercial/Retail Construction</v>
      </c>
    </row>
    <row r="9" spans="1:1" x14ac:dyDescent="0.25">
      <c r="A9" t="str">
        <f>"$ of Leverage Funds- Tribal Organizations"</f>
        <v>$ of Leverage Funds- Tribal Organizations</v>
      </c>
    </row>
    <row r="10" spans="1:1" x14ac:dyDescent="0.25">
      <c r="A10" t="str">
        <f>"$ of Leverage Funds- Private"</f>
        <v>$ of Leverage Funds- Private</v>
      </c>
    </row>
    <row r="11" spans="1:1" x14ac:dyDescent="0.25">
      <c r="A11" t="str">
        <f>"$ of Leverage Funds- Government"</f>
        <v>$ of Leverage Funds- Government</v>
      </c>
    </row>
    <row r="12" spans="1:1" x14ac:dyDescent="0.25">
      <c r="A12" t="str">
        <f>"$ of Business Development Loans Provided to New Businesses"</f>
        <v>$ of Business Development Loans Provided to New Businesses</v>
      </c>
    </row>
    <row r="13" spans="1:1" x14ac:dyDescent="0.25">
      <c r="A13" t="str">
        <f>"$ of Business Development Loans Provided to Existing Businesses"</f>
        <v>$ of Business Development Loans Provided to Existing Businesses</v>
      </c>
    </row>
    <row r="14" spans="1:1" x14ac:dyDescent="0.25">
      <c r="A14" t="str">
        <f>"$ Amount of Money Used to Capitalize a Business Revolving Loan Fund"</f>
        <v>$ Amount of Money Used to Capitalize a Business Revolving Loan Fund</v>
      </c>
    </row>
    <row r="15" spans="1:1" x14ac:dyDescent="0.25">
      <c r="A15" t="str">
        <f>"$ Amount Contributed by Households to IDA Education Accounts"</f>
        <v>$ Amount Contributed by Households to IDA Education Accounts</v>
      </c>
    </row>
    <row r="16" spans="1:1" x14ac:dyDescent="0.25">
      <c r="A16" t="str">
        <f>"$ Amount Contributed by Households to IDA Accounts for Housing Rehabilitation"</f>
        <v>$ Amount Contributed by Households to IDA Accounts for Housing Rehabilitation</v>
      </c>
    </row>
    <row r="17" spans="1:1" x14ac:dyDescent="0.25">
      <c r="A17" t="str">
        <f>"$ Amount Contributed by Households to IDA Accounts for Housing Purchase"</f>
        <v>$ Amount Contributed by Households to IDA Accounts for Housing Purchase</v>
      </c>
    </row>
    <row r="18" spans="1:1" x14ac:dyDescent="0.25">
      <c r="A18" t="str">
        <f>"#hours direct TA"</f>
        <v>#hours direct TA</v>
      </c>
    </row>
    <row r="19" spans="1:1" x14ac:dyDescent="0.25">
      <c r="A19" t="str">
        <f>"#Units with solar panels"</f>
        <v>#Units with solar panels</v>
      </c>
    </row>
    <row r="20" spans="1:1" x14ac:dyDescent="0.25">
      <c r="A20" t="str">
        <f>"#Units with bus/rail access"</f>
        <v>#Units with bus/rail access</v>
      </c>
    </row>
    <row r="21" spans="1:1" x14ac:dyDescent="0.25">
      <c r="A21" t="str">
        <f>"#Units exceeding Energy Star"</f>
        <v>#Units exceeding Energy Star</v>
      </c>
    </row>
    <row r="22" spans="1:1" x14ac:dyDescent="0.25">
      <c r="A22" t="str">
        <f>"#Units deconstructed"</f>
        <v>#Units deconstructed</v>
      </c>
    </row>
    <row r="23" spans="1:1" x14ac:dyDescent="0.25">
      <c r="A23" t="str">
        <f>"#Units ? other green"</f>
        <v>#Units ? other green</v>
      </c>
    </row>
    <row r="24" spans="1:1" x14ac:dyDescent="0.25">
      <c r="A24" t="str">
        <f>"#Sites re-used"</f>
        <v>#Sites re-used</v>
      </c>
    </row>
    <row r="25" spans="1:1" x14ac:dyDescent="0.25">
      <c r="A25" t="str">
        <f>"#Replaced thermostats"</f>
        <v>#Replaced thermostats</v>
      </c>
    </row>
    <row r="26" spans="1:1" x14ac:dyDescent="0.25">
      <c r="A26" t="str">
        <f>"#Replaced hot water heaters"</f>
        <v>#Replaced hot water heaters</v>
      </c>
    </row>
    <row r="27" spans="1:1" x14ac:dyDescent="0.25">
      <c r="A27" t="str">
        <f>"#Refrigerators replaced"</f>
        <v>#Refrigerators replaced</v>
      </c>
    </row>
    <row r="28" spans="1:1" x14ac:dyDescent="0.25">
      <c r="A28" t="str">
        <f>"#On call TA cases completed"</f>
        <v>#On call TA cases completed</v>
      </c>
    </row>
    <row r="29" spans="1:1" x14ac:dyDescent="0.25">
      <c r="A29" t="str">
        <f>"#Low flow toilets"</f>
        <v>#Low flow toilets</v>
      </c>
    </row>
    <row r="30" spans="1:1" x14ac:dyDescent="0.25">
      <c r="A30" t="str">
        <f>"#Low flow showerheads"</f>
        <v>#Low flow showerheads</v>
      </c>
    </row>
    <row r="31" spans="1:1" x14ac:dyDescent="0.25">
      <c r="A31" t="str">
        <f>"#Light Fixtures (indoors) replaced"</f>
        <v>#Light Fixtures (indoors) replaced</v>
      </c>
    </row>
    <row r="32" spans="1:1" x14ac:dyDescent="0.25">
      <c r="A32" t="str">
        <f>"#Light  fixtures (outdoors) replaced"</f>
        <v>#Light  fixtures (outdoors) replaced</v>
      </c>
    </row>
    <row r="33" spans="1:1" x14ac:dyDescent="0.25">
      <c r="A33" t="str">
        <f>"#High efficiency heating plants"</f>
        <v>#High efficiency heating plants</v>
      </c>
    </row>
    <row r="34" spans="1:1" x14ac:dyDescent="0.25">
      <c r="A34" t="str">
        <f>"#Energy Star Replacement Windows"</f>
        <v>#Energy Star Replacement Windows</v>
      </c>
    </row>
    <row r="35" spans="1:1" x14ac:dyDescent="0.25">
      <c r="A35" t="str">
        <f>"#Efficient AC added/replaced"</f>
        <v>#Efficient AC added/replaced</v>
      </c>
    </row>
    <row r="36" spans="1:1" x14ac:dyDescent="0.25">
      <c r="A36" t="str">
        <f>"#Dishwashers replaced"</f>
        <v>#Dishwashers replaced</v>
      </c>
    </row>
    <row r="37" spans="1:1" x14ac:dyDescent="0.25">
      <c r="A37" t="str">
        <f>"#Clothes washers replaced"</f>
        <v>#Clothes washers replaced</v>
      </c>
    </row>
    <row r="38" spans="1:1" x14ac:dyDescent="0.25">
      <c r="A38" t="str">
        <f>"#Additional Attic/Roof Insulation"</f>
        <v>#Additional Attic/Roof Insulation</v>
      </c>
    </row>
    <row r="39" spans="1:1" x14ac:dyDescent="0.25">
      <c r="A39" t="str">
        <f>"# of events held"</f>
        <v># of events held</v>
      </c>
    </row>
    <row r="40" spans="1:1" x14ac:dyDescent="0.25">
      <c r="A40" t="str">
        <f>"# of cable feet of public utility"</f>
        <v># of cable feet of public utility</v>
      </c>
    </row>
    <row r="41" spans="1:1" x14ac:dyDescent="0.25">
      <c r="A41" t="str">
        <f>"# of buildings (non-residential)"</f>
        <v># of buildings (non-residential)</v>
      </c>
    </row>
    <row r="42" spans="1:1" x14ac:dyDescent="0.25">
      <c r="A42" t="str">
        <f>"# of Website visits"</f>
        <v># of Website visits</v>
      </c>
    </row>
    <row r="43" spans="1:1" x14ac:dyDescent="0.25">
      <c r="A43" t="str">
        <f>"# of Training Participants"</f>
        <v># of Training Participants</v>
      </c>
    </row>
    <row r="44" spans="1:1" x14ac:dyDescent="0.25">
      <c r="A44" t="str">
        <f>"# of Total Visitors attracted to Lower Manhattan"</f>
        <v># of Total Visitors attracted to Lower Manhattan</v>
      </c>
    </row>
    <row r="45" spans="1:1" x14ac:dyDescent="0.25">
      <c r="A45" t="str">
        <f>"# of Total People reached through advertisements"</f>
        <v># of Total People reached through advertisements</v>
      </c>
    </row>
    <row r="46" spans="1:1" x14ac:dyDescent="0.25">
      <c r="A46" t="str">
        <f>"# of Temporary Jobs Created"</f>
        <v># of Temporary Jobs Created</v>
      </c>
    </row>
    <row r="47" spans="1:1" x14ac:dyDescent="0.25">
      <c r="A47" t="str">
        <f>"# of TA Provider Training Sessions or Meetings"</f>
        <v># of TA Provider Training Sessions or Meetings</v>
      </c>
    </row>
    <row r="48" spans="1:1" x14ac:dyDescent="0.25">
      <c r="A48" t="str">
        <f>"# of Substantially Rehabilitated Units"</f>
        <v># of Substantially Rehabilitated Units</v>
      </c>
    </row>
    <row r="49" spans="1:1" x14ac:dyDescent="0.25">
      <c r="A49" t="str">
        <f>"# of Studies Conducted"</f>
        <v># of Studies Conducted</v>
      </c>
    </row>
    <row r="50" spans="1:1" x14ac:dyDescent="0.25">
      <c r="A50" t="str">
        <f>"# of Strategic Planning Sessions"</f>
        <v># of Strategic Planning Sessions</v>
      </c>
    </row>
    <row r="51" spans="1:1" x14ac:dyDescent="0.25">
      <c r="A51" t="str">
        <f>"# of Singlefamily Units"</f>
        <v># of Singlefamily Units</v>
      </c>
    </row>
    <row r="52" spans="1:1" x14ac:dyDescent="0.25">
      <c r="A52" t="str">
        <f>"# of Public Facilities"</f>
        <v># of Public Facilities</v>
      </c>
    </row>
    <row r="53" spans="1:1" x14ac:dyDescent="0.25">
      <c r="A53" t="str">
        <f>"# of Properties"</f>
        <v># of Properties</v>
      </c>
    </row>
    <row r="54" spans="1:1" x14ac:dyDescent="0.25">
      <c r="A54" t="str">
        <f>"# of Premium Payments"</f>
        <v># of Premium Payments</v>
      </c>
    </row>
    <row r="55" spans="1:1" x14ac:dyDescent="0.25">
      <c r="A55" t="str">
        <f>"# of Posted Advertisements for Tourism Initiatives"</f>
        <v># of Posted Advertisements for Tourism Initiatives</v>
      </c>
    </row>
    <row r="56" spans="1:1" x14ac:dyDescent="0.25">
      <c r="A56" t="str">
        <f>"# of Plumbing Inspections"</f>
        <v># of Plumbing Inspections</v>
      </c>
    </row>
    <row r="57" spans="1:1" x14ac:dyDescent="0.25">
      <c r="A57" t="str">
        <f>"# of Plans or Planning Products"</f>
        <v># of Plans or Planning Products</v>
      </c>
    </row>
    <row r="58" spans="1:1" x14ac:dyDescent="0.25">
      <c r="A58" t="str">
        <f>"# of Plans Reviewed"</f>
        <v># of Plans Reviewed</v>
      </c>
    </row>
    <row r="59" spans="1:1" x14ac:dyDescent="0.25">
      <c r="A59" t="str">
        <f>"# of Plans Completed"</f>
        <v># of Plans Completed</v>
      </c>
    </row>
    <row r="60" spans="1:1" x14ac:dyDescent="0.25">
      <c r="A60" t="str">
        <f>"# of Persons Trained Through a TA Provider"</f>
        <v># of Persons Trained Through a TA Provider</v>
      </c>
    </row>
    <row r="61" spans="1:1" x14ac:dyDescent="0.25">
      <c r="A61" t="str">
        <f>"# of Persons Receiving Career Counseling or Support Services"</f>
        <v># of Persons Receiving Career Counseling or Support Services</v>
      </c>
    </row>
    <row r="62" spans="1:1" x14ac:dyDescent="0.25">
      <c r="A62" t="str">
        <f>"# of Persons Participating in Small Business Training"</f>
        <v># of Persons Participating in Small Business Training</v>
      </c>
    </row>
    <row r="63" spans="1:1" x14ac:dyDescent="0.25">
      <c r="A63" t="str">
        <f>"# of Persons Educated on Fair Housing (AFFH)"</f>
        <v># of Persons Educated on Fair Housing (AFFH)</v>
      </c>
    </row>
    <row r="64" spans="1:1" x14ac:dyDescent="0.25">
      <c r="A64" t="str">
        <f>"# of People Trained"</f>
        <v># of People Trained</v>
      </c>
    </row>
    <row r="65" spans="1:1" x14ac:dyDescent="0.25">
      <c r="A65" t="str">
        <f>"# of Parcels acquired voluntarily"</f>
        <v># of Parcels acquired voluntarily</v>
      </c>
    </row>
    <row r="66" spans="1:1" x14ac:dyDescent="0.25">
      <c r="A66" t="str">
        <f>"# of Parcels acquired by condemnation"</f>
        <v># of Parcels acquired by condemnation</v>
      </c>
    </row>
    <row r="67" spans="1:1" x14ac:dyDescent="0.25">
      <c r="A67" t="str">
        <f>"# of Parcels acquired by admin settlement"</f>
        <v># of Parcels acquired by admin settlement</v>
      </c>
    </row>
    <row r="68" spans="1:1" x14ac:dyDescent="0.25">
      <c r="A68" t="str">
        <f>"# of Non-business Organizations benefitting"</f>
        <v># of Non-business Organizations benefitting</v>
      </c>
    </row>
    <row r="69" spans="1:1" x14ac:dyDescent="0.25">
      <c r="A69" t="str">
        <f>"# of Non-Residential Buildings Rehabilitated with Green/ Energy Efficiency Improvements"</f>
        <v># of Non-Residential Buildings Rehabilitated with Green/ Energy Efficiency Improvements</v>
      </c>
    </row>
    <row r="70" spans="1:1" x14ac:dyDescent="0.25">
      <c r="A70" t="str">
        <f>"# of Non-Residential Buildings Rehabilitated"</f>
        <v># of Non-Residential Buildings Rehabilitated</v>
      </c>
    </row>
    <row r="71" spans="1:1" x14ac:dyDescent="0.25">
      <c r="A71" t="str">
        <f>"# of Non-Residential Buildings Constructed with Green/ Energy Efficiency Improvements"</f>
        <v># of Non-Residential Buildings Constructed with Green/ Energy Efficiency Improvements</v>
      </c>
    </row>
    <row r="72" spans="1:1" x14ac:dyDescent="0.25">
      <c r="A72" t="str">
        <f>"# of Non-Residential Buildings Constructed"</f>
        <v># of Non-Residential Buildings Constructed</v>
      </c>
    </row>
    <row r="73" spans="1:1" x14ac:dyDescent="0.25">
      <c r="A73" t="str">
        <f>"# of New Water Storage Facilities"</f>
        <v># of New Water Storage Facilities</v>
      </c>
    </row>
    <row r="74" spans="1:1" x14ac:dyDescent="0.25">
      <c r="A74" t="str">
        <f>"# of New CDFIs Established"</f>
        <v># of New CDFIs Established</v>
      </c>
    </row>
    <row r="75" spans="1:1" x14ac:dyDescent="0.25">
      <c r="A75" t="str">
        <f>"# of New Businesses Established"</f>
        <v># of New Businesses Established</v>
      </c>
    </row>
    <row r="76" spans="1:1" x14ac:dyDescent="0.25">
      <c r="A76" t="str">
        <f>"# of Multifamily Units"</f>
        <v># of Multifamily Units</v>
      </c>
    </row>
    <row r="77" spans="1:1" x14ac:dyDescent="0.25">
      <c r="A77" t="str">
        <f>"# of Mixed-Use Buildings Constructed"</f>
        <v># of Mixed-Use Buildings Constructed</v>
      </c>
    </row>
    <row r="78" spans="1:1" x14ac:dyDescent="0.25">
      <c r="A78" t="str">
        <f>"# of Mechanical Inspections"</f>
        <v># of Mechanical Inspections</v>
      </c>
    </row>
    <row r="79" spans="1:1" x14ac:dyDescent="0.25">
      <c r="A79" t="str">
        <f>"# of M/WBEs Benefiting"</f>
        <v># of M/WBEs Benefiting</v>
      </c>
    </row>
    <row r="80" spans="1:1" x14ac:dyDescent="0.25">
      <c r="A80" t="str">
        <f>"# of Loans Provided for Rehabilitation or Retrofit of Commercial/Retail"</f>
        <v># of Loans Provided for Rehabilitation or Retrofit of Commercial/Retail</v>
      </c>
    </row>
    <row r="81" spans="1:1" x14ac:dyDescent="0.25">
      <c r="A81" t="str">
        <f>"# of Loans Provided for New Commercial/Retail Construction"</f>
        <v># of Loans Provided for New Commercial/Retail Construction</v>
      </c>
    </row>
    <row r="82" spans="1:1" x14ac:dyDescent="0.25">
      <c r="A82" t="str">
        <f>"# of Linear miles of Public Improvement"</f>
        <v># of Linear miles of Public Improvement</v>
      </c>
    </row>
    <row r="83" spans="1:1" x14ac:dyDescent="0.25">
      <c r="A83" t="str">
        <f>"# of Linear feet of Public Improvement"</f>
        <v># of Linear feet of Public Improvement</v>
      </c>
    </row>
    <row r="84" spans="1:1" x14ac:dyDescent="0.25">
      <c r="A84" t="str">
        <f>"# of Linear Feet of Water Lines"</f>
        <v># of Linear Feet of Water Lines</v>
      </c>
    </row>
    <row r="85" spans="1:1" x14ac:dyDescent="0.25">
      <c r="A85" t="str">
        <f>"# of Linear Feet of Sewer Lines"</f>
        <v># of Linear Feet of Sewer Lines</v>
      </c>
    </row>
    <row r="86" spans="1:1" x14ac:dyDescent="0.25">
      <c r="A86" t="str">
        <f>"# of Leverage Partners Participating"</f>
        <v># of Leverage Partners Participating</v>
      </c>
    </row>
    <row r="87" spans="1:1" x14ac:dyDescent="0.25">
      <c r="A87" t="str">
        <f>"# of Housing Units with Green/Energy Efficiency Improvements"</f>
        <v># of Housing Units with Green/Energy Efficiency Improvements</v>
      </c>
    </row>
    <row r="88" spans="1:1" x14ac:dyDescent="0.25">
      <c r="A88" t="str">
        <f>"# of Housing Units"</f>
        <v># of Housing Units</v>
      </c>
    </row>
    <row r="89" spans="1:1" x14ac:dyDescent="0.25">
      <c r="A89" t="str">
        <f>"# of Households with Established IDA Accounts"</f>
        <v># of Households with Established IDA Accounts</v>
      </c>
    </row>
    <row r="90" spans="1:1" x14ac:dyDescent="0.25">
      <c r="A90" t="str">
        <f>"# of Households Receiving Loans"</f>
        <v># of Households Receiving Loans</v>
      </c>
    </row>
    <row r="91" spans="1:1" x14ac:dyDescent="0.25">
      <c r="A91" t="str">
        <f>"# of Households Receiving Downpayment Assistance"</f>
        <v># of Households Receiving Downpayment Assistance</v>
      </c>
    </row>
    <row r="92" spans="1:1" x14ac:dyDescent="0.25">
      <c r="A92" t="str">
        <f>"# of Households Receiving Direct Financial Aid"</f>
        <v># of Households Receiving Direct Financial Aid</v>
      </c>
    </row>
    <row r="93" spans="1:1" x14ac:dyDescent="0.25">
      <c r="A93" t="str">
        <f>"# of Households Establishing IDA Accounts for Housing Rehabilitation"</f>
        <v># of Households Establishing IDA Accounts for Housing Rehabilitation</v>
      </c>
    </row>
    <row r="94" spans="1:1" x14ac:dyDescent="0.25">
      <c r="A94" t="str">
        <f>"# of Households Establishing IDA Accounts for Housing Purchase"</f>
        <v># of Households Establishing IDA Accounts for Housing Purchase</v>
      </c>
    </row>
    <row r="95" spans="1:1" x14ac:dyDescent="0.25">
      <c r="A95" t="str">
        <f>"# of Households Establishing IDA Accounts for Education"</f>
        <v># of Households Establishing IDA Accounts for Education</v>
      </c>
    </row>
    <row r="96" spans="1:1" x14ac:dyDescent="0.25">
      <c r="A96" t="str">
        <f>"# of Homes Purchases by a 1st Time Homebuyer"</f>
        <v># of Homes Purchases by a 1st Time Homebuyer</v>
      </c>
    </row>
    <row r="97" spans="1:1" x14ac:dyDescent="0.25">
      <c r="A97" t="str">
        <f>"# of Homeowners Receiving Home Maintenance Training"</f>
        <v># of Homeowners Receiving Home Maintenance Training</v>
      </c>
    </row>
    <row r="98" spans="1:1" x14ac:dyDescent="0.25">
      <c r="A98" t="str">
        <f>"# of Gallons of Water Storage Capacity Added"</f>
        <v># of Gallons of Water Storage Capacity Added</v>
      </c>
    </row>
    <row r="99" spans="1:1" x14ac:dyDescent="0.25">
      <c r="A99" t="str">
        <f>"# of Existing Businesses Assisted"</f>
        <v># of Existing Businesses Assisted</v>
      </c>
    </row>
    <row r="100" spans="1:1" x14ac:dyDescent="0.25">
      <c r="A100" t="str">
        <f>"# of Electrical Inspections"</f>
        <v># of Electrical Inspections</v>
      </c>
    </row>
    <row r="101" spans="1:1" x14ac:dyDescent="0.25">
      <c r="A101" t="str">
        <f>"# of Distributed Materials"</f>
        <v># of Distributed Materials</v>
      </c>
    </row>
    <row r="102" spans="1:1" x14ac:dyDescent="0.25">
      <c r="A102" t="str">
        <f>"# of Conferences Held"</f>
        <v># of Conferences Held</v>
      </c>
    </row>
    <row r="103" spans="1:1" x14ac:dyDescent="0.25">
      <c r="A103" t="str">
        <f>"# of Community Input Sessions"</f>
        <v># of Community Input Sessions</v>
      </c>
    </row>
    <row r="104" spans="1:1" x14ac:dyDescent="0.25">
      <c r="A104" t="str">
        <f>"# of Businesses Receiving Loans from a Revolving Loan Fund"</f>
        <v># of Businesses Receiving Loans from a Revolving Loan Fund</v>
      </c>
    </row>
    <row r="105" spans="1:1" x14ac:dyDescent="0.25">
      <c r="A105" t="str">
        <f>"# of Businesses"</f>
        <v># of Businesses</v>
      </c>
    </row>
    <row r="106" spans="1:1" x14ac:dyDescent="0.25">
      <c r="A106" t="str">
        <f>"# of Business Incubators Created"</f>
        <v># of Business Incubators Created</v>
      </c>
    </row>
    <row r="107" spans="1:1" x14ac:dyDescent="0.25">
      <c r="A107" t="str">
        <f>"# of Business Development Loans Offered to New Businesses"</f>
        <v># of Business Development Loans Offered to New Businesses</v>
      </c>
    </row>
    <row r="108" spans="1:1" x14ac:dyDescent="0.25">
      <c r="A108" t="str">
        <f>"# of Business Development Loans Offered to Existing Businesses"</f>
        <v># of Business Development Loans Offered to Existing Businesses</v>
      </c>
    </row>
    <row r="109" spans="1:1" x14ac:dyDescent="0.25">
      <c r="A109" t="str">
        <f>"# of Buildings Acquired (Non-Residential)"</f>
        <v># of Buildings Acquired (Non-Residential)</v>
      </c>
    </row>
    <row r="110" spans="1:1" x14ac:dyDescent="0.25">
      <c r="A110" t="str">
        <f>"# of Building Inspections"</f>
        <v># of Building Inspections</v>
      </c>
    </row>
    <row r="111" spans="1:1" x14ac:dyDescent="0.25">
      <c r="A111" t="str">
        <f>"# hours"</f>
        <v># hours</v>
      </c>
    </row>
    <row r="112" spans="1:1" x14ac:dyDescent="0.25">
      <c r="A112" t="str">
        <f>"# Workshops delivered"</f>
        <v># Workshops delivered</v>
      </c>
    </row>
    <row r="113" spans="1:1" x14ac:dyDescent="0.25">
      <c r="A113" t="str">
        <f>"# Webinars provided"</f>
        <v># Webinars provided</v>
      </c>
    </row>
    <row r="114" spans="1:1" x14ac:dyDescent="0.25">
      <c r="A114" t="str">
        <f>"# Train the trainers sessions run"</f>
        <v># Train the trainers sessions run</v>
      </c>
    </row>
    <row r="115" spans="1:1" x14ac:dyDescent="0.25">
      <c r="A115" t="str">
        <f>"# Sample documents developed"</f>
        <v># Sample documents developed</v>
      </c>
    </row>
    <row r="116" spans="1:1" x14ac:dyDescent="0.25">
      <c r="A116" t="str">
        <f>"# Problem solving clinics"</f>
        <v># Problem solving clinics</v>
      </c>
    </row>
    <row r="117" spans="1:1" x14ac:dyDescent="0.25">
      <c r="A117" t="str">
        <f>"# On call TA cases opened"</f>
        <v># On call TA cases opened</v>
      </c>
    </row>
    <row r="118" spans="1:1" x14ac:dyDescent="0.25">
      <c r="A118" t="str">
        <f>"# Needs assessments completed"</f>
        <v># Needs assessments completed</v>
      </c>
    </row>
    <row r="119" spans="1:1" x14ac:dyDescent="0.25">
      <c r="A119" t="str">
        <f>"# Guidebooks/written products completed"</f>
        <v># Guidebooks/written products completed</v>
      </c>
    </row>
    <row r="120" spans="1:1" x14ac:dyDescent="0.25">
      <c r="A120" t="str">
        <f>"# ELI Households (0-30% AMI)"</f>
        <v># ELI Households (0-30% AMI)</v>
      </c>
    </row>
    <row r="121" spans="1:1" x14ac:dyDescent="0.25">
      <c r="A121" t="str">
        <f>"# Documents peer reviewed"</f>
        <v># Documents peer reviewed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9"/>
  <sheetViews>
    <sheetView workbookViewId="0">
      <selection activeCell="A9" sqref="A9"/>
    </sheetView>
  </sheetViews>
  <sheetFormatPr defaultRowHeight="15" x14ac:dyDescent="0.25"/>
  <cols>
    <col min="1" max="1" width="69.7109375" customWidth="1"/>
  </cols>
  <sheetData>
    <row r="1" spans="1:1" x14ac:dyDescent="0.25">
      <c r="A1" s="2" t="s">
        <v>16</v>
      </c>
    </row>
    <row r="2" spans="1:1" x14ac:dyDescent="0.25">
      <c r="A2" t="str">
        <f>"DESCRIPTION"</f>
        <v>DESCRIPTION</v>
      </c>
    </row>
    <row r="3" spans="1:1" x14ac:dyDescent="0.25">
      <c r="A3" t="str">
        <f>"# of Wage-Earners benefitting"</f>
        <v># of Wage-Earners benefitting</v>
      </c>
    </row>
    <row r="4" spans="1:1" x14ac:dyDescent="0.25">
      <c r="A4" t="str">
        <f>"# of Persons Who Received Training And Obtained a Job"</f>
        <v># of Persons Who Received Training And Obtained a Job</v>
      </c>
    </row>
    <row r="5" spans="1:1" x14ac:dyDescent="0.25">
      <c r="A5" t="str">
        <f>"# of Persons Receiving Job Training in Green Building or Energy Efficiency"</f>
        <v># of Persons Receiving Job Training in Green Building or Energy Efficiency</v>
      </c>
    </row>
    <row r="6" spans="1:1" x14ac:dyDescent="0.25">
      <c r="A6" t="str">
        <f>"# of Persons Receiving Job Training in Construction or Home Repair"</f>
        <v># of Persons Receiving Job Training in Construction or Home Repair</v>
      </c>
    </row>
    <row r="7" spans="1:1" x14ac:dyDescent="0.25">
      <c r="A7" t="str">
        <f>"# of Persons Participating in On-The-Job Training"</f>
        <v># of Persons Participating in On-The-Job Training</v>
      </c>
    </row>
    <row r="8" spans="1:1" x14ac:dyDescent="0.25">
      <c r="A8" t="str">
        <f>"# of Persons"</f>
        <v># of Persons</v>
      </c>
    </row>
    <row r="9" spans="1:1" x14ac:dyDescent="0.25">
      <c r="A9" t="str">
        <f>"# of Permanent Jobs Retained"</f>
        <v># of Permanent Jobs Retained</v>
      </c>
    </row>
    <row r="10" spans="1:1" x14ac:dyDescent="0.25">
      <c r="A10" t="str">
        <f>"# of Permanent Jobs Created"</f>
        <v># of Permanent Jobs Created</v>
      </c>
    </row>
    <row r="11" spans="1:1" x14ac:dyDescent="0.25">
      <c r="A11" t="str">
        <f>"# of Micro-Enterprises Established"</f>
        <v># of Micro-Enterprises Established</v>
      </c>
    </row>
    <row r="12" spans="1:1" x14ac:dyDescent="0.25">
      <c r="A12" t="str">
        <f>"# of Job Training Participants"</f>
        <v># of Job Training Participants</v>
      </c>
    </row>
    <row r="13" spans="1:1" x14ac:dyDescent="0.25">
      <c r="A13" t="str">
        <f>"# of Households"</f>
        <v># of Households</v>
      </c>
    </row>
    <row r="14" spans="1:1" x14ac:dyDescent="0.25">
      <c r="A14" t="str">
        <f>"# of Green Building or Energy Jobs Created"</f>
        <v># of Green Building or Energy Jobs Created</v>
      </c>
    </row>
    <row r="15" spans="1:1" x14ac:dyDescent="0.25">
      <c r="A15" t="str">
        <f>"# of Construction Jobs Created"</f>
        <v># of Construction Jobs Created</v>
      </c>
    </row>
    <row r="16" spans="1:1" x14ac:dyDescent="0.25">
      <c r="A16" t="str">
        <f>"# of Cases opened"</f>
        <v># of Cases opened</v>
      </c>
    </row>
    <row r="17" spans="1:1" x14ac:dyDescent="0.25">
      <c r="A17" t="str">
        <f>"# of Cases closed"</f>
        <v># of Cases closed</v>
      </c>
    </row>
    <row r="18" spans="1:1" x14ac:dyDescent="0.25">
      <c r="A18" t="str">
        <f>"# Renter Households"</f>
        <v># Renter Households</v>
      </c>
    </row>
    <row r="19" spans="1:1" x14ac:dyDescent="0.25">
      <c r="A19" t="str">
        <f>"# Owner Households"</f>
        <v># Owner Households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APEstimatedPIRL</vt:lpstr>
      <vt:lpstr>APNarratives</vt:lpstr>
      <vt:lpstr>APFundingSource</vt:lpstr>
      <vt:lpstr>ActivityAdd</vt:lpstr>
      <vt:lpstr>ActivityEdit</vt:lpstr>
      <vt:lpstr>ActivityFundingSource</vt:lpstr>
      <vt:lpstr>ActivityResponsibleOrgBudget</vt:lpstr>
      <vt:lpstr>ActivityAccomplishment</vt:lpstr>
      <vt:lpstr>ActivityBeneficiary</vt:lpstr>
      <vt:lpstr>ActivityAddress</vt:lpstr>
      <vt:lpstr>ProjectAdd</vt:lpstr>
      <vt:lpstr>ProjectEdit</vt:lpstr>
      <vt:lpstr>ResponsibleOrgAdd</vt:lpstr>
      <vt:lpstr>ResponsibleOrgEdit</vt:lpstr>
      <vt:lpstr>ResponsibleOrgContactData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DRGR Data Upload Template: Action Plan Module Crosswalk</dc:title>
  <dc:creator>HUD Contractor</dc:creator>
  <cp:lastModifiedBy>Moir, Arielle</cp:lastModifiedBy>
  <dcterms:created xsi:type="dcterms:W3CDTF">2014-03-10T19:18:46Z</dcterms:created>
  <dcterms:modified xsi:type="dcterms:W3CDTF">2023-06-23T00:36:26Z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