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568\Downloads\DCTA Financial Management Tools\Fringe Benefits Rate\"/>
    </mc:Choice>
  </mc:AlternateContent>
  <xr:revisionPtr revIDLastSave="0" documentId="8_{DC365AC7-7183-4B92-A452-76D3CB6DFACC}" xr6:coauthVersionLast="47" xr6:coauthVersionMax="47" xr10:uidLastSave="{00000000-0000-0000-0000-000000000000}"/>
  <bookViews>
    <workbookView xWindow="-120" yWindow="-120" windowWidth="29040" windowHeight="15840" xr2:uid="{22C2F0E6-634D-41D5-B7AE-F1D4FAF81909}"/>
  </bookViews>
  <sheets>
    <sheet name="Employees Labor &amp; Fringe  " sheetId="2" r:id="rId1"/>
  </sheets>
  <externalReferences>
    <externalReference r:id="rId2"/>
    <externalReference r:id="rId3"/>
  </externalReferences>
  <definedNames>
    <definedName name="_xlnm._FilterDatabase" localSheetId="0" hidden="1">'Employees Labor &amp; Fringe  '!$A$2:$U$26</definedName>
    <definedName name="DEPARTMENT">[1]PICKLIST!$A$1:$A$25</definedName>
    <definedName name="fruits">#REF!</definedName>
    <definedName name="periodlookup">'[2]Array Sheet'!$A$2:$B$13</definedName>
    <definedName name="PeriodNo">'[2]Array Sheet'!$A$2:$A$13</definedName>
    <definedName name="_xlnm.Print_Area" localSheetId="0">'Employees Labor &amp; Fringe  '!$A$2:$Q$11</definedName>
    <definedName name="_xlnm.Print_Titles" localSheetId="0">'Employees Labor &amp; Fringe  '!$A:$B,'Employees Labor &amp; Fringe  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2" l="1"/>
  <c r="C40" i="2" s="1"/>
  <c r="B38" i="2"/>
  <c r="B40" i="2" s="1"/>
  <c r="Q10" i="2" l="1"/>
  <c r="Q9" i="2"/>
  <c r="Q8" i="2"/>
  <c r="Q7" i="2"/>
  <c r="Q6" i="2"/>
  <c r="Q5" i="2"/>
  <c r="Q4" i="2"/>
  <c r="Q3" i="2"/>
  <c r="B29" i="2"/>
  <c r="B28" i="2"/>
  <c r="C26" i="2"/>
  <c r="C27" i="2"/>
  <c r="M10" i="2"/>
  <c r="M9" i="2"/>
  <c r="M8" i="2"/>
  <c r="M7" i="2"/>
  <c r="M6" i="2"/>
  <c r="M5" i="2"/>
  <c r="M4" i="2"/>
  <c r="M3" i="2"/>
  <c r="B22" i="2" s="1"/>
  <c r="C22" i="2" s="1"/>
  <c r="B24" i="2"/>
  <c r="B23" i="2"/>
  <c r="C23" i="2" s="1"/>
  <c r="B21" i="2"/>
  <c r="B17" i="2"/>
  <c r="C24" i="2" s="1"/>
  <c r="O11" i="2"/>
  <c r="N11" i="2"/>
  <c r="M11" i="2"/>
  <c r="D11" i="2"/>
  <c r="C11" i="2"/>
  <c r="L10" i="2"/>
  <c r="K10" i="2"/>
  <c r="J10" i="2"/>
  <c r="L9" i="2"/>
  <c r="K9" i="2"/>
  <c r="J9" i="2"/>
  <c r="B9" i="2"/>
  <c r="G9" i="2" s="1"/>
  <c r="L8" i="2"/>
  <c r="K8" i="2"/>
  <c r="J8" i="2"/>
  <c r="P8" i="2" s="1"/>
  <c r="L7" i="2"/>
  <c r="K7" i="2"/>
  <c r="J7" i="2"/>
  <c r="B7" i="2"/>
  <c r="G7" i="2" s="1"/>
  <c r="L6" i="2"/>
  <c r="K6" i="2"/>
  <c r="J6" i="2"/>
  <c r="P6" i="2" s="1"/>
  <c r="L5" i="2"/>
  <c r="P5" i="2" s="1"/>
  <c r="K5" i="2"/>
  <c r="J5" i="2"/>
  <c r="B5" i="2"/>
  <c r="G5" i="2" s="1"/>
  <c r="L4" i="2"/>
  <c r="K4" i="2"/>
  <c r="J4" i="2"/>
  <c r="L3" i="2"/>
  <c r="K3" i="2"/>
  <c r="K11" i="2" s="1"/>
  <c r="J3" i="2"/>
  <c r="B19" i="2" s="1"/>
  <c r="B3" i="2"/>
  <c r="G3" i="2" s="1"/>
  <c r="D1" i="2"/>
  <c r="B10" i="2" s="1"/>
  <c r="C19" i="2" l="1"/>
  <c r="C21" i="2"/>
  <c r="P4" i="2"/>
  <c r="P9" i="2"/>
  <c r="B20" i="2"/>
  <c r="C20" i="2" s="1"/>
  <c r="P3" i="2"/>
  <c r="J11" i="2"/>
  <c r="P7" i="2"/>
  <c r="P10" i="2"/>
  <c r="E10" i="2"/>
  <c r="G10" i="2"/>
  <c r="F10" i="2"/>
  <c r="E5" i="2"/>
  <c r="E7" i="2"/>
  <c r="E9" i="2"/>
  <c r="L11" i="2"/>
  <c r="E3" i="2"/>
  <c r="F3" i="2"/>
  <c r="B4" i="2"/>
  <c r="F5" i="2"/>
  <c r="B6" i="2"/>
  <c r="F7" i="2"/>
  <c r="B8" i="2"/>
  <c r="F9" i="2"/>
  <c r="P11" i="2" l="1"/>
  <c r="B25" i="2"/>
  <c r="H5" i="2"/>
  <c r="I5" i="2" s="1"/>
  <c r="C25" i="2"/>
  <c r="E6" i="2"/>
  <c r="G6" i="2"/>
  <c r="F6" i="2"/>
  <c r="H3" i="2"/>
  <c r="B26" i="2" s="1"/>
  <c r="E8" i="2"/>
  <c r="F8" i="2"/>
  <c r="G8" i="2"/>
  <c r="E4" i="2"/>
  <c r="F4" i="2"/>
  <c r="G4" i="2"/>
  <c r="H9" i="2"/>
  <c r="I9" i="2" s="1"/>
  <c r="H7" i="2"/>
  <c r="I7" i="2" s="1"/>
  <c r="H10" i="2"/>
  <c r="I10" i="2" s="1"/>
  <c r="H4" i="2" l="1"/>
  <c r="I4" i="2" s="1"/>
  <c r="F11" i="2"/>
  <c r="B27" i="2"/>
  <c r="E11" i="2"/>
  <c r="G11" i="2"/>
  <c r="H8" i="2"/>
  <c r="I8" i="2" s="1"/>
  <c r="I3" i="2"/>
  <c r="H6" i="2"/>
  <c r="I6" i="2" s="1"/>
  <c r="H11" i="2" l="1"/>
  <c r="I11" i="2"/>
</calcChain>
</file>

<file path=xl/sharedStrings.xml><?xml version="1.0" encoding="utf-8"?>
<sst xmlns="http://schemas.openxmlformats.org/spreadsheetml/2006/main" count="46" uniqueCount="40">
  <si>
    <t>Name</t>
  </si>
  <si>
    <t>Hourly Rate</t>
  </si>
  <si>
    <t>Salary</t>
  </si>
  <si>
    <t>Vacation Accrual (Hours)</t>
  </si>
  <si>
    <t>Vacation Amt</t>
  </si>
  <si>
    <t>Sick Amt</t>
  </si>
  <si>
    <t>Holiday Amt</t>
  </si>
  <si>
    <t>Total Compensated Absences</t>
  </si>
  <si>
    <t>Net Compensation</t>
  </si>
  <si>
    <t>Social Security</t>
  </si>
  <si>
    <t>Medicare</t>
  </si>
  <si>
    <t>Unemployement   Tax</t>
  </si>
  <si>
    <t>Retirement</t>
  </si>
  <si>
    <t>Medical Insurance</t>
  </si>
  <si>
    <t>Workmen Comp</t>
  </si>
  <si>
    <t xml:space="preserve">Total Fringe </t>
  </si>
  <si>
    <t>Fringe Benefit Rate</t>
  </si>
  <si>
    <t>Employee #1</t>
  </si>
  <si>
    <t>Employee #2</t>
  </si>
  <si>
    <t>Employee #3</t>
  </si>
  <si>
    <t>Employee #4</t>
  </si>
  <si>
    <t>Employee #5</t>
  </si>
  <si>
    <t>Employee #6</t>
  </si>
  <si>
    <t>Employee #7</t>
  </si>
  <si>
    <t>Employee #8</t>
  </si>
  <si>
    <t>Totals</t>
  </si>
  <si>
    <t>CHECK</t>
  </si>
  <si>
    <t>Employee #1  Salary</t>
  </si>
  <si>
    <t>Fringes</t>
  </si>
  <si>
    <t xml:space="preserve">Unemployement </t>
  </si>
  <si>
    <t>Medical/Life</t>
  </si>
  <si>
    <t>TOTAL  FRINGE</t>
  </si>
  <si>
    <t>Compensated Leave</t>
  </si>
  <si>
    <t>With Compensated Leave</t>
  </si>
  <si>
    <t>Without Compensated Leave</t>
  </si>
  <si>
    <t>Example of Applying a Fringe Rate</t>
  </si>
  <si>
    <t>Total Compensation (excluding PTO)</t>
  </si>
  <si>
    <t>Fringe Rate (from previous slide)</t>
  </si>
  <si>
    <t>Finge Benefit (inclusive of/excluding PTO)</t>
  </si>
  <si>
    <t>Total Compensation (including Fringes)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</si>
</sst>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0.000000000000000%"/>
    <numFmt numFmtId="168" formatCode="_-* #,##0.00000_-;\-* #,##0.00000_-;_-* &quot;-&quot;??_-;_-@_-"/>
    <numFmt numFmtId="169" formatCode="#,##0.0000_);[Red]\(#,##0.0000\)"/>
    <numFmt numFmtId="170" formatCode="_-* #,##0.0000_-;\-* #,##0.0000_-;_-* &quot;-&quot;??_-;_-@_-"/>
    <numFmt numFmtId="171" formatCode="_(* #,##0_);_(* \(#,##0\);_(* &quot;-&quot;??_);_(@_)"/>
    <numFmt numFmtId="172" formatCode="_-* #,##0.0000000_-;\-* #,##0.0000000_-;_-* &quot;-&quot;??_-;_-@_-"/>
    <numFmt numFmtId="173" formatCode="_-* #,##0.000_-;\-* #,##0.000_-;_-* &quot;-&quot;??_-;_-@_-"/>
    <numFmt numFmtId="174" formatCode="_-* #,##0.000000_-;\-* #,##0.000000_-;_-* &quot;-&quot;??_-;_-@_-"/>
    <numFmt numFmtId="175" formatCode="_-&quot;$&quot;* #,##0.0000_-;\-&quot;$&quot;* #,##0.00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164" fontId="2" fillId="0" borderId="0" xfId="2" applyFont="1"/>
    <xf numFmtId="0" fontId="3" fillId="0" borderId="0" xfId="0" applyFont="1"/>
    <xf numFmtId="166" fontId="2" fillId="0" borderId="0" xfId="1" applyNumberFormat="1" applyFont="1"/>
    <xf numFmtId="0" fontId="2" fillId="0" borderId="0" xfId="0" applyFont="1" applyAlignment="1">
      <alignment horizontal="center"/>
    </xf>
    <xf numFmtId="166" fontId="2" fillId="0" borderId="0" xfId="1" applyNumberFormat="1" applyFont="1" applyAlignment="1">
      <alignment horizontal="right"/>
    </xf>
    <xf numFmtId="166" fontId="2" fillId="0" borderId="0" xfId="1" applyNumberFormat="1" applyFont="1" applyBorder="1" applyAlignment="1">
      <alignment horizontal="right"/>
    </xf>
    <xf numFmtId="9" fontId="2" fillId="0" borderId="0" xfId="0" applyNumberFormat="1" applyFont="1"/>
    <xf numFmtId="167" fontId="2" fillId="0" borderId="0" xfId="0" applyNumberFormat="1" applyFont="1"/>
    <xf numFmtId="2" fontId="2" fillId="0" borderId="0" xfId="0" applyNumberFormat="1" applyFont="1"/>
    <xf numFmtId="9" fontId="2" fillId="2" borderId="0" xfId="3" applyFont="1" applyFill="1"/>
    <xf numFmtId="168" fontId="2" fillId="0" borderId="0" xfId="1" applyNumberFormat="1" applyFont="1"/>
    <xf numFmtId="9" fontId="2" fillId="2" borderId="0" xfId="3" applyFont="1" applyFill="1" applyAlignment="1">
      <alignment horizontal="right"/>
    </xf>
    <xf numFmtId="165" fontId="2" fillId="0" borderId="0" xfId="0" applyNumberFormat="1" applyFont="1"/>
    <xf numFmtId="0" fontId="2" fillId="0" borderId="2" xfId="0" applyFont="1" applyBorder="1"/>
    <xf numFmtId="169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Alignment="1">
      <alignment horizontal="left"/>
    </xf>
    <xf numFmtId="40" fontId="2" fillId="0" borderId="0" xfId="1" applyNumberFormat="1" applyFont="1" applyFill="1" applyBorder="1" applyAlignment="1">
      <alignment horizontal="right"/>
    </xf>
    <xf numFmtId="166" fontId="2" fillId="2" borderId="0" xfId="0" applyNumberFormat="1" applyFont="1" applyFill="1"/>
    <xf numFmtId="0" fontId="4" fillId="0" borderId="2" xfId="0" applyFont="1" applyBorder="1"/>
    <xf numFmtId="165" fontId="2" fillId="0" borderId="0" xfId="1" applyFont="1"/>
    <xf numFmtId="0" fontId="5" fillId="0" borderId="0" xfId="0" applyFont="1"/>
    <xf numFmtId="0" fontId="2" fillId="0" borderId="3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quotePrefix="1" applyFont="1"/>
    <xf numFmtId="44" fontId="3" fillId="0" borderId="0" xfId="0" applyNumberFormat="1" applyFont="1"/>
    <xf numFmtId="170" fontId="2" fillId="0" borderId="0" xfId="1" applyNumberFormat="1" applyFont="1" applyFill="1"/>
    <xf numFmtId="0" fontId="4" fillId="0" borderId="0" xfId="0" applyFont="1"/>
    <xf numFmtId="164" fontId="2" fillId="0" borderId="0" xfId="2" applyFont="1" applyFill="1"/>
    <xf numFmtId="44" fontId="7" fillId="0" borderId="0" xfId="0" applyNumberFormat="1" applyFont="1"/>
    <xf numFmtId="166" fontId="8" fillId="3" borderId="4" xfId="1" applyNumberFormat="1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0" fontId="8" fillId="0" borderId="4" xfId="0" applyFont="1" applyBorder="1"/>
    <xf numFmtId="0" fontId="9" fillId="0" borderId="0" xfId="0" applyFont="1"/>
    <xf numFmtId="164" fontId="9" fillId="0" borderId="0" xfId="2" applyFont="1"/>
    <xf numFmtId="166" fontId="9" fillId="2" borderId="4" xfId="1" applyNumberFormat="1" applyFont="1" applyFill="1" applyBorder="1"/>
    <xf numFmtId="166" fontId="9" fillId="0" borderId="4" xfId="1" applyNumberFormat="1" applyFont="1" applyFill="1" applyBorder="1"/>
    <xf numFmtId="0" fontId="9" fillId="0" borderId="4" xfId="0" applyFont="1" applyBorder="1" applyAlignment="1">
      <alignment horizontal="center"/>
    </xf>
    <xf numFmtId="171" fontId="9" fillId="0" borderId="4" xfId="1" applyNumberFormat="1" applyFont="1" applyFill="1" applyBorder="1" applyAlignment="1">
      <alignment horizontal="right" wrapText="1"/>
    </xf>
    <xf numFmtId="164" fontId="9" fillId="2" borderId="4" xfId="2" applyFont="1" applyFill="1" applyBorder="1" applyProtection="1"/>
    <xf numFmtId="0" fontId="9" fillId="0" borderId="4" xfId="0" applyFont="1" applyBorder="1"/>
    <xf numFmtId="166" fontId="9" fillId="0" borderId="4" xfId="1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164" fontId="5" fillId="0" borderId="0" xfId="2" applyFont="1" applyAlignment="1">
      <alignment vertical="center"/>
    </xf>
    <xf numFmtId="166" fontId="10" fillId="4" borderId="5" xfId="1" applyNumberFormat="1" applyFont="1" applyFill="1" applyBorder="1" applyAlignment="1">
      <alignment horizontal="center" vertical="center" wrapText="1"/>
    </xf>
    <xf numFmtId="166" fontId="10" fillId="4" borderId="5" xfId="1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166" fontId="2" fillId="0" borderId="6" xfId="1" applyNumberFormat="1" applyFont="1" applyFill="1" applyBorder="1"/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/>
    <xf numFmtId="0" fontId="2" fillId="0" borderId="9" xfId="0" applyFont="1" applyBorder="1" applyAlignment="1">
      <alignment horizontal="center"/>
    </xf>
    <xf numFmtId="166" fontId="2" fillId="0" borderId="10" xfId="1" applyNumberFormat="1" applyFont="1" applyFill="1" applyBorder="1" applyAlignment="1">
      <alignment horizontal="center"/>
    </xf>
    <xf numFmtId="44" fontId="2" fillId="0" borderId="0" xfId="0" applyNumberFormat="1" applyFont="1"/>
    <xf numFmtId="166" fontId="2" fillId="0" borderId="0" xfId="0" applyNumberFormat="1" applyFont="1"/>
    <xf numFmtId="166" fontId="2" fillId="0" borderId="0" xfId="1" applyNumberFormat="1" applyFont="1" applyFill="1"/>
    <xf numFmtId="165" fontId="6" fillId="0" borderId="0" xfId="1" applyFont="1" applyFill="1"/>
    <xf numFmtId="170" fontId="2" fillId="0" borderId="0" xfId="1" applyNumberFormat="1" applyFont="1"/>
    <xf numFmtId="169" fontId="2" fillId="0" borderId="1" xfId="1" applyNumberFormat="1" applyFont="1" applyFill="1" applyBorder="1" applyAlignment="1">
      <alignment horizontal="right"/>
    </xf>
    <xf numFmtId="166" fontId="0" fillId="2" borderId="0" xfId="1" applyNumberFormat="1" applyFont="1" applyFill="1"/>
    <xf numFmtId="166" fontId="0" fillId="2" borderId="1" xfId="1" applyNumberFormat="1" applyFont="1" applyFill="1" applyBorder="1"/>
    <xf numFmtId="166" fontId="2" fillId="0" borderId="0" xfId="1" applyNumberFormat="1" applyFont="1" applyBorder="1" applyAlignment="1">
      <alignment horizontal="left"/>
    </xf>
    <xf numFmtId="168" fontId="2" fillId="0" borderId="0" xfId="1" applyNumberFormat="1" applyFont="1" applyAlignment="1">
      <alignment horizontal="right"/>
    </xf>
    <xf numFmtId="9" fontId="2" fillId="0" borderId="0" xfId="3" applyFont="1" applyFill="1" applyAlignment="1">
      <alignment horizontal="right"/>
    </xf>
    <xf numFmtId="169" fontId="2" fillId="0" borderId="1" xfId="0" applyNumberFormat="1" applyFont="1" applyBorder="1" applyAlignment="1">
      <alignment horizontal="right"/>
    </xf>
    <xf numFmtId="173" fontId="2" fillId="0" borderId="0" xfId="1" applyNumberFormat="1" applyFont="1" applyBorder="1" applyAlignment="1">
      <alignment horizontal="right"/>
    </xf>
    <xf numFmtId="168" fontId="2" fillId="0" borderId="0" xfId="1" applyNumberFormat="1" applyFont="1" applyFill="1"/>
    <xf numFmtId="173" fontId="2" fillId="0" borderId="0" xfId="1" applyNumberFormat="1" applyFont="1" applyFill="1"/>
    <xf numFmtId="165" fontId="2" fillId="0" borderId="0" xfId="1" applyFont="1" applyFill="1"/>
    <xf numFmtId="172" fontId="2" fillId="0" borderId="0" xfId="1" applyNumberFormat="1" applyFont="1" applyFill="1"/>
    <xf numFmtId="170" fontId="2" fillId="0" borderId="0" xfId="2" applyNumberFormat="1" applyFont="1" applyAlignment="1">
      <alignment horizontal="center"/>
    </xf>
    <xf numFmtId="170" fontId="2" fillId="0" borderId="0" xfId="1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74" fontId="2" fillId="0" borderId="0" xfId="1" applyNumberFormat="1" applyFont="1" applyAlignment="1">
      <alignment horizontal="left"/>
    </xf>
    <xf numFmtId="17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center"/>
    </xf>
    <xf numFmtId="174" fontId="2" fillId="0" borderId="0" xfId="1" applyNumberFormat="1" applyFont="1"/>
    <xf numFmtId="166" fontId="2" fillId="2" borderId="0" xfId="1" applyNumberFormat="1" applyFont="1" applyFill="1"/>
    <xf numFmtId="166" fontId="2" fillId="0" borderId="11" xfId="1" applyNumberFormat="1" applyFont="1" applyFill="1" applyBorder="1"/>
    <xf numFmtId="0" fontId="2" fillId="0" borderId="4" xfId="0" applyFont="1" applyBorder="1"/>
    <xf numFmtId="9" fontId="9" fillId="2" borderId="4" xfId="3" applyFont="1" applyFill="1" applyBorder="1"/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9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hfa-my.sharepoint.com/personal/ctucker_vihfa_onmicrosoft_com/Documents/VIHFA/VIHFA%20Forms/Salary%20Reimbursement/18-3-3%20SALARY%20REIMBURSEMEN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hfa-my.sharepoint.com/personal/cfrancis_vihfa_onmicrosoft_com/Documents/Copy%20of%20VIHFA%20DEC%202018%20Budget-Variance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PICKLIS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ay Sheet"/>
      <sheetName val="Budget variance"/>
      <sheetName val="July P &amp; L 18"/>
      <sheetName val="July Bal Sheet 18"/>
      <sheetName val="July P &amp; L Detail"/>
      <sheetName val="July Incoming Payments"/>
      <sheetName val="JUNE PROFIT &amp; LOSS"/>
      <sheetName val="JUNE BAL SHEET 2018"/>
      <sheetName val="JUNE P &amp; L DETAIL"/>
      <sheetName val="june 2018 Incoming Payment"/>
      <sheetName val="mAY p &amp; l 18"/>
      <sheetName val="Sheet8"/>
      <sheetName val="Sheet9"/>
      <sheetName val="Sheet10"/>
      <sheetName val="APRIL P &amp;APRIL P &amp; L 2018 L"/>
      <sheetName val="APRIL BAL SHEET '18"/>
      <sheetName val="P &amp; L DETAIL APRIL '18"/>
      <sheetName val="APRIL '18 INCOMING P'MENT"/>
      <sheetName val="MAR BAL SHEET 18"/>
      <sheetName val="iN COMIN PAYMENT MARCH"/>
      <sheetName val="P &amp; L MAR 18"/>
      <sheetName val="MAR P &amp; L DETAIL"/>
      <sheetName val="P &amp; L FEB 18"/>
      <sheetName val="BAL SHEET FEB "/>
      <sheetName val="P &amp; L DETAIL FEB 18"/>
      <sheetName val="Incoming payment Feb 18"/>
      <sheetName val="JAN P &amp; L 2018"/>
      <sheetName val="JAN BAL SHEET 2018"/>
      <sheetName val="P &amp; L Detail 01-31-18"/>
      <sheetName val="Jan Incoming P'ments 2018"/>
      <sheetName val="DEC INCOMING"/>
      <sheetName val="DEC BAL 2017"/>
      <sheetName val="DEC P &amp; L 2017"/>
      <sheetName val="P 7&amp; L DETAIL 12-31-17"/>
      <sheetName val="Nov Profit &amp; Loss-17"/>
      <sheetName val="Nov Bal Sheet -17"/>
      <sheetName val="P &amp; L detail 11-17"/>
      <sheetName val="Incoming payment 11-17"/>
      <sheetName val="P &amp; L Oct 17"/>
      <sheetName val="Sheet6"/>
      <sheetName val="oCT p &amp; l dETAIL 2017"/>
      <sheetName val="Oct 31 Bal Sheet"/>
      <sheetName val="10-31-17 incoming"/>
      <sheetName val="09-30-17 Incoming Payment"/>
      <sheetName val="08-31-17 INCOMING"/>
      <sheetName val="P &amp; L Aug 17"/>
      <sheetName val="BAL SHEET Aug 17"/>
      <sheetName val="P &amp; L Detail Aug 17"/>
      <sheetName val="Sheet1"/>
      <sheetName val="Sheet3"/>
      <sheetName val="Sheet7"/>
      <sheetName val="BAL SHEET JULY"/>
      <sheetName val="P &amp; L JULY"/>
      <sheetName val="P &amp; L JULY DETAIL"/>
      <sheetName val="INCOMING PAY JULY"/>
      <sheetName val="P &amp; L JUNE"/>
      <sheetName val="BAL SHEET "/>
      <sheetName val="JUNE INCOMING"/>
      <sheetName val="May in-coning p'ment"/>
      <sheetName val="MAR 17 P &amp; L DETAIL"/>
      <sheetName val="P &amp; L Feb _ "/>
      <sheetName val="Bal Sheet Feb-17"/>
      <sheetName val="Feb P &amp; L 17 Detail"/>
      <sheetName val="JAN P &amp; L"/>
      <sheetName val="Dec P &amp; L -1"/>
      <sheetName val="JAN BAL SHEET-1"/>
      <sheetName val="Jan 17 incoming payment"/>
      <sheetName val="Dec Incoming Payment"/>
      <sheetName val="P 7 L DETAIL JANUARY"/>
      <sheetName val="Dec Bal Sheet"/>
      <sheetName val="Dec P &amp; L Detail-1"/>
      <sheetName val="Nov P &amp; L"/>
      <sheetName val="Nov Bal Sheet"/>
      <sheetName val="Nov P &amp; L Detail"/>
      <sheetName val="Nov Incoming"/>
      <sheetName val="Incomining Payment Oct"/>
      <sheetName val="Sept incoming P'Ment"/>
      <sheetName val="JULY P &amp; L"/>
      <sheetName val="JULY BAL SHEET"/>
      <sheetName val="June P &amp; L    "/>
      <sheetName val="June Bal Sheet"/>
      <sheetName val="June P&amp;L Detail"/>
      <sheetName val="June Incoming Payment"/>
      <sheetName val="May P &amp; L"/>
      <sheetName val="May Bal Sheet"/>
      <sheetName val="May P &amp; L Detail"/>
      <sheetName val="April P &amp; L"/>
      <sheetName val="aPRIL 2017 iNCOMING "/>
      <sheetName val="   "/>
      <sheetName val="April Bal Sheet"/>
      <sheetName val="April Incoming Payments"/>
      <sheetName val="Mar Bal Sheet"/>
      <sheetName val="March P &amp; L"/>
      <sheetName val="P &amp; L Detail Mar"/>
      <sheetName val="Feb Bal Sheet"/>
      <sheetName val="Feb P &amp; L"/>
      <sheetName val="P &amp; L  Detail Feb"/>
      <sheetName val="Feb Incoming Payment"/>
      <sheetName val="Jan Incoming Payments"/>
      <sheetName val="Jan Bal Sheet"/>
      <sheetName val="Jan P &amp; L "/>
      <sheetName val="Dec P &amp; L"/>
      <sheetName val="Jan P &amp; L Detail"/>
      <sheetName val="Dec P &amp; L Detail"/>
      <sheetName val="Profit &amp; Loss Aug"/>
      <sheetName val="August Bal Sheet"/>
      <sheetName val="August P &amp; L Detail"/>
      <sheetName val="Profit &amp; Loss June"/>
      <sheetName val="Balance Sheet June"/>
      <sheetName val="Profit &amp; Loss Detail June"/>
      <sheetName val="P &amp; L April"/>
      <sheetName val="General Ledger"/>
      <sheetName val="April Incoming Payment"/>
      <sheetName val="General Ledger-April detail"/>
      <sheetName val="FEB P&amp;l Detail"/>
      <sheetName val="Balance Shee detail-FEB"/>
      <sheetName val="P &amp; L JAN"/>
      <sheetName val="P&amp;L Detail"/>
      <sheetName val="BalanceSheet Detail"/>
      <sheetName val="P &amp; L NOV"/>
      <sheetName val="P &amp; L detail NOV"/>
      <sheetName val="Bal Sheet Nov"/>
      <sheetName val="P &amp; L October"/>
      <sheetName val="P &amp; L detail"/>
      <sheetName val="Bal Sheet October"/>
      <sheetName val="Sheet2"/>
      <sheetName val="Sept Bal Sheet"/>
      <sheetName val="Sept P&amp;L"/>
      <sheetName val="November P &amp; L"/>
      <sheetName val="Nov BALANCE SHEET"/>
      <sheetName val="NOV P &amp;L Detail"/>
      <sheetName val="Sheet5"/>
      <sheetName val="GL-Balance Sheet"/>
      <sheetName val="May P&amp;L"/>
      <sheetName val="May P&amp;L Detail"/>
      <sheetName val="May Incoming Pymnt"/>
      <sheetName val="P &amp; L (Oct-Dec)"/>
      <sheetName val="P &amp; L (Oct-Nov)"/>
      <sheetName val="P &amp; L (Oct-Nov) GL Detail"/>
      <sheetName val="P &amp; L (Oct-Dec) GL Detail"/>
      <sheetName val="Balance Sheet (Oct-Nov)"/>
      <sheetName val="Balance Sheet (Oct-Dec)"/>
      <sheetName val="Incoming Payments (Oct-Nov)"/>
      <sheetName val="Salary Reimbursement"/>
      <sheetName val="VIHM Revenue"/>
      <sheetName val="VIHM EXPS"/>
      <sheetName val="Infrastructure Development Expe"/>
      <sheetName val="Revised Utlities"/>
      <sheetName val="P&amp;L OCT 2"/>
      <sheetName val="Federal Admin"/>
      <sheetName val="New Reformat"/>
      <sheetName val="Sheet4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9EB91-ABA0-4756-9682-24305A2F8FAF}">
  <dimension ref="A1:U50"/>
  <sheetViews>
    <sheetView showGridLines="0" tabSelected="1" zoomScaleNormal="100" zoomScaleSheetLayoutView="125" workbookViewId="0">
      <pane xSplit="2" ySplit="2" topLeftCell="C30" activePane="bottomRight" state="frozen"/>
      <selection pane="topRight" sqref="A1:Q69"/>
      <selection pane="bottomLeft" sqref="A1:Q69"/>
      <selection pane="bottomRight" activeCell="E35" sqref="E35"/>
    </sheetView>
  </sheetViews>
  <sheetFormatPr defaultColWidth="9.140625" defaultRowHeight="15.75" outlineLevelRow="1" outlineLevelCol="1" x14ac:dyDescent="0.25"/>
  <cols>
    <col min="1" max="1" width="30.140625" style="1" bestFit="1" customWidth="1" outlineLevel="1"/>
    <col min="2" max="2" width="41.28515625" style="1" customWidth="1" outlineLevel="1"/>
    <col min="3" max="3" width="21" style="1" customWidth="1" outlineLevel="1"/>
    <col min="4" max="4" width="19.140625" style="6" customWidth="1" outlineLevel="1"/>
    <col min="5" max="5" width="10.42578125" style="5" customWidth="1" outlineLevel="1"/>
    <col min="6" max="6" width="15.85546875" style="4" customWidth="1" outlineLevel="1"/>
    <col min="7" max="8" width="14.85546875" style="4" customWidth="1" outlineLevel="1"/>
    <col min="9" max="9" width="20.42578125" style="4" customWidth="1" outlineLevel="1"/>
    <col min="10" max="11" width="20.28515625" style="4" customWidth="1"/>
    <col min="12" max="12" width="14.85546875" style="4" customWidth="1" outlineLevel="1"/>
    <col min="13" max="13" width="16.85546875" style="4" customWidth="1" outlineLevel="1"/>
    <col min="14" max="14" width="17.140625" style="4" customWidth="1" outlineLevel="1"/>
    <col min="15" max="15" width="18.28515625" style="4" bestFit="1" customWidth="1" outlineLevel="1"/>
    <col min="16" max="16" width="14" style="4" customWidth="1" outlineLevel="1"/>
    <col min="17" max="17" width="16.42578125" style="4" bestFit="1" customWidth="1"/>
    <col min="18" max="18" width="9.140625" style="1"/>
    <col min="19" max="19" width="11.140625" style="3" bestFit="1" customWidth="1"/>
    <col min="20" max="21" width="13.42578125" style="2" bestFit="1" customWidth="1"/>
    <col min="22" max="16384" width="9.140625" style="1"/>
  </cols>
  <sheetData>
    <row r="1" spans="1:21" ht="33" customHeight="1" outlineLevel="1" thickBot="1" x14ac:dyDescent="0.3">
      <c r="B1" s="58"/>
      <c r="C1" s="57"/>
      <c r="D1" s="56">
        <f>26*80</f>
        <v>2080</v>
      </c>
      <c r="E1" s="55">
        <v>26</v>
      </c>
      <c r="F1" s="53"/>
      <c r="G1" s="53">
        <v>2</v>
      </c>
      <c r="H1" s="53">
        <v>12</v>
      </c>
      <c r="I1" s="54">
        <v>8</v>
      </c>
      <c r="J1" s="53"/>
      <c r="K1" s="53"/>
      <c r="L1" s="53"/>
      <c r="M1" s="50"/>
      <c r="N1" s="52"/>
      <c r="O1" s="52"/>
      <c r="P1" s="51"/>
      <c r="Q1" s="83"/>
    </row>
    <row r="2" spans="1:21" s="43" customFormat="1" ht="71.099999999999994" customHeight="1" x14ac:dyDescent="0.25">
      <c r="A2" s="49" t="s">
        <v>0</v>
      </c>
      <c r="B2" s="48" t="s">
        <v>1</v>
      </c>
      <c r="C2" s="46" t="s">
        <v>2</v>
      </c>
      <c r="D2" s="47" t="s">
        <v>3</v>
      </c>
      <c r="E2" s="45" t="s">
        <v>4</v>
      </c>
      <c r="F2" s="46" t="s">
        <v>5</v>
      </c>
      <c r="G2" s="46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6" t="s">
        <v>12</v>
      </c>
      <c r="N2" s="45" t="s">
        <v>13</v>
      </c>
      <c r="O2" s="45" t="s">
        <v>14</v>
      </c>
      <c r="P2" s="45" t="s">
        <v>15</v>
      </c>
      <c r="Q2" s="86" t="s">
        <v>16</v>
      </c>
      <c r="R2" s="79"/>
      <c r="S2" s="44"/>
      <c r="T2" s="44"/>
    </row>
    <row r="3" spans="1:21" s="34" customFormat="1" ht="20.100000000000001" customHeight="1" outlineLevel="1" x14ac:dyDescent="0.25">
      <c r="A3" s="41" t="s">
        <v>17</v>
      </c>
      <c r="B3" s="40">
        <f t="shared" ref="B3:B10" si="0">C3/$D$1</f>
        <v>48.07692307692308</v>
      </c>
      <c r="C3" s="42">
        <v>100000</v>
      </c>
      <c r="D3" s="38">
        <v>6</v>
      </c>
      <c r="E3" s="36">
        <f t="shared" ref="E3:E10" si="1">B3*D3*$E$1</f>
        <v>7500</v>
      </c>
      <c r="F3" s="36">
        <f>B3*$E$1*$G$1</f>
        <v>2500</v>
      </c>
      <c r="G3" s="36">
        <f>B3*$H$1*$I$1</f>
        <v>4615.3846153846152</v>
      </c>
      <c r="H3" s="36">
        <f t="shared" ref="H3:H10" si="2">E3+F3+G3</f>
        <v>14615.384615384615</v>
      </c>
      <c r="I3" s="36">
        <f t="shared" ref="I3:I10" si="3">C3-H3</f>
        <v>85384.61538461539</v>
      </c>
      <c r="J3" s="36">
        <f t="shared" ref="J3:J5" si="4">C3*0.062</f>
        <v>6200</v>
      </c>
      <c r="K3" s="36">
        <f>C3*0.0145</f>
        <v>1450</v>
      </c>
      <c r="L3" s="37">
        <f t="shared" ref="L3:L10" si="5">9500*0.0099</f>
        <v>94.050000000000011</v>
      </c>
      <c r="M3" s="37">
        <f>C3*0.04</f>
        <v>4000</v>
      </c>
      <c r="N3" s="37">
        <v>8500</v>
      </c>
      <c r="O3" s="37">
        <v>86</v>
      </c>
      <c r="P3" s="36">
        <f t="shared" ref="P3:P5" si="6">SUM(J3:O3)</f>
        <v>20330.05</v>
      </c>
      <c r="Q3" s="85">
        <f>(P3+H3)/I3</f>
        <v>0.40927085585585582</v>
      </c>
      <c r="R3" s="30"/>
      <c r="S3" s="35"/>
      <c r="T3" s="35"/>
    </row>
    <row r="4" spans="1:21" s="34" customFormat="1" ht="20.100000000000001" customHeight="1" outlineLevel="1" x14ac:dyDescent="0.25">
      <c r="A4" s="41" t="s">
        <v>18</v>
      </c>
      <c r="B4" s="40">
        <f t="shared" si="0"/>
        <v>43.269230769230766</v>
      </c>
      <c r="C4" s="42">
        <v>90000</v>
      </c>
      <c r="D4" s="38">
        <v>6</v>
      </c>
      <c r="E4" s="36">
        <f t="shared" si="1"/>
        <v>6749.9999999999991</v>
      </c>
      <c r="F4" s="36">
        <f t="shared" ref="F4:F10" si="7">B4*$E$1*$G$1</f>
        <v>2250</v>
      </c>
      <c r="G4" s="36">
        <f t="shared" ref="G4:G10" si="8">B4*$H$1*$I$1</f>
        <v>4153.8461538461534</v>
      </c>
      <c r="H4" s="36">
        <f t="shared" si="2"/>
        <v>13153.846153846152</v>
      </c>
      <c r="I4" s="36">
        <f t="shared" si="3"/>
        <v>76846.153846153844</v>
      </c>
      <c r="J4" s="36">
        <f t="shared" si="4"/>
        <v>5580</v>
      </c>
      <c r="K4" s="36">
        <f t="shared" ref="K4:K10" si="9">C4*0.0145</f>
        <v>1305</v>
      </c>
      <c r="L4" s="37">
        <f t="shared" si="5"/>
        <v>94.050000000000011</v>
      </c>
      <c r="M4" s="37">
        <f t="shared" ref="M4:M10" si="10">C4*0.04</f>
        <v>3600</v>
      </c>
      <c r="N4" s="37">
        <v>7650.0000000000009</v>
      </c>
      <c r="O4" s="37">
        <v>77.335547054774935</v>
      </c>
      <c r="P4" s="36">
        <f t="shared" si="6"/>
        <v>18306.385547054775</v>
      </c>
      <c r="Q4" s="85">
        <f t="shared" ref="Q4:Q10" si="11">(P4+H4)/I4</f>
        <v>0.40939240451622833</v>
      </c>
      <c r="R4" s="30"/>
      <c r="S4" s="35"/>
      <c r="T4" s="35"/>
    </row>
    <row r="5" spans="1:21" s="34" customFormat="1" ht="20.100000000000001" customHeight="1" outlineLevel="1" x14ac:dyDescent="0.25">
      <c r="A5" s="41" t="s">
        <v>19</v>
      </c>
      <c r="B5" s="40">
        <f t="shared" si="0"/>
        <v>43.269230769230766</v>
      </c>
      <c r="C5" s="42">
        <v>90000</v>
      </c>
      <c r="D5" s="38">
        <v>8</v>
      </c>
      <c r="E5" s="36">
        <f t="shared" si="1"/>
        <v>9000</v>
      </c>
      <c r="F5" s="36">
        <f t="shared" si="7"/>
        <v>2250</v>
      </c>
      <c r="G5" s="36">
        <f t="shared" si="8"/>
        <v>4153.8461538461534</v>
      </c>
      <c r="H5" s="36">
        <f t="shared" si="2"/>
        <v>15403.846153846152</v>
      </c>
      <c r="I5" s="36">
        <f t="shared" si="3"/>
        <v>74596.153846153844</v>
      </c>
      <c r="J5" s="36">
        <f t="shared" si="4"/>
        <v>5580</v>
      </c>
      <c r="K5" s="36">
        <f t="shared" si="9"/>
        <v>1305</v>
      </c>
      <c r="L5" s="37">
        <f t="shared" si="5"/>
        <v>94.050000000000011</v>
      </c>
      <c r="M5" s="37">
        <f t="shared" si="10"/>
        <v>3600</v>
      </c>
      <c r="N5" s="37">
        <v>7650.0000000000009</v>
      </c>
      <c r="O5" s="37">
        <v>77.335547054774935</v>
      </c>
      <c r="P5" s="36">
        <f t="shared" si="6"/>
        <v>18306.385547054775</v>
      </c>
      <c r="Q5" s="85">
        <f t="shared" si="11"/>
        <v>0.45190308029049969</v>
      </c>
      <c r="R5" s="30"/>
      <c r="S5" s="35"/>
      <c r="T5" s="35"/>
    </row>
    <row r="6" spans="1:21" s="34" customFormat="1" ht="20.100000000000001" customHeight="1" outlineLevel="1" x14ac:dyDescent="0.25">
      <c r="A6" s="41" t="s">
        <v>20</v>
      </c>
      <c r="B6" s="40">
        <f t="shared" si="0"/>
        <v>52.884615384615387</v>
      </c>
      <c r="C6" s="42">
        <v>110000</v>
      </c>
      <c r="D6" s="38">
        <v>6</v>
      </c>
      <c r="E6" s="36">
        <f t="shared" si="1"/>
        <v>8250</v>
      </c>
      <c r="F6" s="36">
        <f t="shared" si="7"/>
        <v>2750</v>
      </c>
      <c r="G6" s="36">
        <f t="shared" si="8"/>
        <v>5076.9230769230771</v>
      </c>
      <c r="H6" s="36">
        <f t="shared" si="2"/>
        <v>16076.923076923078</v>
      </c>
      <c r="I6" s="36">
        <f t="shared" si="3"/>
        <v>93923.076923076922</v>
      </c>
      <c r="J6" s="36">
        <f>C6*0.062</f>
        <v>6820</v>
      </c>
      <c r="K6" s="36">
        <f t="shared" si="9"/>
        <v>1595</v>
      </c>
      <c r="L6" s="37">
        <f t="shared" si="5"/>
        <v>94.050000000000011</v>
      </c>
      <c r="M6" s="37">
        <f t="shared" si="10"/>
        <v>4400</v>
      </c>
      <c r="N6" s="37">
        <v>9350</v>
      </c>
      <c r="O6" s="37">
        <v>94.521224178058247</v>
      </c>
      <c r="P6" s="36">
        <f>SUM(J6:O6)</f>
        <v>22353.571224178057</v>
      </c>
      <c r="Q6" s="85">
        <f t="shared" si="11"/>
        <v>0.4091698819937058</v>
      </c>
      <c r="R6" s="30"/>
      <c r="S6" s="35"/>
      <c r="T6" s="35"/>
    </row>
    <row r="7" spans="1:21" s="34" customFormat="1" ht="20.100000000000001" customHeight="1" outlineLevel="1" x14ac:dyDescent="0.25">
      <c r="A7" s="41" t="s">
        <v>21</v>
      </c>
      <c r="B7" s="40">
        <f t="shared" si="0"/>
        <v>24.08653846153846</v>
      </c>
      <c r="C7" s="39">
        <v>50100</v>
      </c>
      <c r="D7" s="38">
        <v>8</v>
      </c>
      <c r="E7" s="36">
        <f t="shared" si="1"/>
        <v>5010</v>
      </c>
      <c r="F7" s="36">
        <f t="shared" si="7"/>
        <v>1252.5</v>
      </c>
      <c r="G7" s="36">
        <f t="shared" si="8"/>
        <v>2312.3076923076924</v>
      </c>
      <c r="H7" s="36">
        <f t="shared" si="2"/>
        <v>8574.8076923076915</v>
      </c>
      <c r="I7" s="36">
        <f t="shared" si="3"/>
        <v>41525.192307692312</v>
      </c>
      <c r="J7" s="36">
        <f t="shared" ref="J7:J10" si="12">C7*0.062</f>
        <v>3106.2</v>
      </c>
      <c r="K7" s="36">
        <f t="shared" si="9"/>
        <v>726.45</v>
      </c>
      <c r="L7" s="37">
        <f t="shared" si="5"/>
        <v>94.050000000000011</v>
      </c>
      <c r="M7" s="37">
        <f t="shared" si="10"/>
        <v>2004</v>
      </c>
      <c r="N7" s="37">
        <v>4258.5</v>
      </c>
      <c r="O7" s="37">
        <v>43.050121193824708</v>
      </c>
      <c r="P7" s="36">
        <f t="shared" ref="P7:P10" si="13">SUM(J7:O7)</f>
        <v>10232.250121193825</v>
      </c>
      <c r="Q7" s="85">
        <f t="shared" si="11"/>
        <v>0.45290718160064036</v>
      </c>
      <c r="R7" s="30"/>
      <c r="S7" s="35"/>
      <c r="T7" s="35"/>
    </row>
    <row r="8" spans="1:21" s="34" customFormat="1" ht="20.100000000000001" customHeight="1" outlineLevel="1" x14ac:dyDescent="0.25">
      <c r="A8" s="41" t="s">
        <v>22</v>
      </c>
      <c r="B8" s="40">
        <f t="shared" si="0"/>
        <v>31.490384615384617</v>
      </c>
      <c r="C8" s="42">
        <v>65500</v>
      </c>
      <c r="D8" s="38">
        <v>8</v>
      </c>
      <c r="E8" s="36">
        <f t="shared" si="1"/>
        <v>6550</v>
      </c>
      <c r="F8" s="36">
        <f t="shared" si="7"/>
        <v>1637.5</v>
      </c>
      <c r="G8" s="36">
        <f t="shared" si="8"/>
        <v>3023.0769230769233</v>
      </c>
      <c r="H8" s="36">
        <f t="shared" si="2"/>
        <v>11210.576923076924</v>
      </c>
      <c r="I8" s="36">
        <f t="shared" si="3"/>
        <v>54289.423076923078</v>
      </c>
      <c r="J8" s="36">
        <f t="shared" si="12"/>
        <v>4061</v>
      </c>
      <c r="K8" s="36">
        <f t="shared" si="9"/>
        <v>949.75</v>
      </c>
      <c r="L8" s="37">
        <f t="shared" si="5"/>
        <v>94.050000000000011</v>
      </c>
      <c r="M8" s="37">
        <f t="shared" si="10"/>
        <v>2620</v>
      </c>
      <c r="N8" s="37">
        <v>5567.5</v>
      </c>
      <c r="O8" s="37">
        <v>56.2830925787529</v>
      </c>
      <c r="P8" s="36">
        <f t="shared" si="13"/>
        <v>13348.583092578752</v>
      </c>
      <c r="Q8" s="85">
        <f t="shared" si="11"/>
        <v>0.45237467307135726</v>
      </c>
      <c r="R8" s="30"/>
      <c r="S8" s="35"/>
      <c r="T8" s="35"/>
    </row>
    <row r="9" spans="1:21" s="34" customFormat="1" ht="20.100000000000001" customHeight="1" outlineLevel="1" x14ac:dyDescent="0.25">
      <c r="A9" s="41" t="s">
        <v>23</v>
      </c>
      <c r="B9" s="40">
        <f t="shared" si="0"/>
        <v>18.076923076923077</v>
      </c>
      <c r="C9" s="39">
        <v>37600</v>
      </c>
      <c r="D9" s="38">
        <v>8</v>
      </c>
      <c r="E9" s="36">
        <f t="shared" si="1"/>
        <v>3760</v>
      </c>
      <c r="F9" s="36">
        <f t="shared" si="7"/>
        <v>940</v>
      </c>
      <c r="G9" s="36">
        <f t="shared" si="8"/>
        <v>1735.3846153846152</v>
      </c>
      <c r="H9" s="36">
        <f t="shared" si="2"/>
        <v>6435.3846153846152</v>
      </c>
      <c r="I9" s="36">
        <f t="shared" si="3"/>
        <v>31164.615384615383</v>
      </c>
      <c r="J9" s="36">
        <f t="shared" si="12"/>
        <v>2331.1999999999998</v>
      </c>
      <c r="K9" s="36">
        <f t="shared" si="9"/>
        <v>545.20000000000005</v>
      </c>
      <c r="L9" s="37">
        <f t="shared" si="5"/>
        <v>94.050000000000011</v>
      </c>
      <c r="M9" s="37">
        <f t="shared" si="10"/>
        <v>1504</v>
      </c>
      <c r="N9" s="37">
        <v>3196.0000000000005</v>
      </c>
      <c r="O9" s="37">
        <v>32.309072991772638</v>
      </c>
      <c r="P9" s="36">
        <f t="shared" si="13"/>
        <v>7702.7590729917738</v>
      </c>
      <c r="Q9" s="85">
        <f t="shared" si="11"/>
        <v>0.45366013711036446</v>
      </c>
      <c r="R9" s="30"/>
      <c r="S9" s="35"/>
      <c r="T9" s="35"/>
    </row>
    <row r="10" spans="1:21" s="34" customFormat="1" ht="20.100000000000001" customHeight="1" outlineLevel="1" x14ac:dyDescent="0.25">
      <c r="A10" s="41" t="s">
        <v>24</v>
      </c>
      <c r="B10" s="40">
        <f t="shared" si="0"/>
        <v>26.634615384615383</v>
      </c>
      <c r="C10" s="39">
        <v>55400</v>
      </c>
      <c r="D10" s="38">
        <v>6</v>
      </c>
      <c r="E10" s="36">
        <f t="shared" si="1"/>
        <v>4155</v>
      </c>
      <c r="F10" s="36">
        <f t="shared" si="7"/>
        <v>1385</v>
      </c>
      <c r="G10" s="36">
        <f t="shared" si="8"/>
        <v>2556.9230769230767</v>
      </c>
      <c r="H10" s="36">
        <f t="shared" si="2"/>
        <v>8096.9230769230762</v>
      </c>
      <c r="I10" s="36">
        <f t="shared" si="3"/>
        <v>47303.076923076922</v>
      </c>
      <c r="J10" s="36">
        <f t="shared" si="12"/>
        <v>3434.8</v>
      </c>
      <c r="K10" s="36">
        <f t="shared" si="9"/>
        <v>803.30000000000007</v>
      </c>
      <c r="L10" s="37">
        <f t="shared" si="5"/>
        <v>94.050000000000011</v>
      </c>
      <c r="M10" s="37">
        <f t="shared" si="10"/>
        <v>2216</v>
      </c>
      <c r="N10" s="37">
        <v>4709</v>
      </c>
      <c r="O10" s="37">
        <v>47.604325631494788</v>
      </c>
      <c r="P10" s="36">
        <f t="shared" si="13"/>
        <v>11304.754325631497</v>
      </c>
      <c r="Q10" s="85">
        <f t="shared" si="11"/>
        <v>0.41015677339774526</v>
      </c>
      <c r="R10" s="30"/>
      <c r="S10" s="35"/>
      <c r="T10" s="35"/>
    </row>
    <row r="11" spans="1:21" x14ac:dyDescent="0.25">
      <c r="A11" s="33"/>
      <c r="B11" s="32" t="s">
        <v>25</v>
      </c>
      <c r="C11" s="31">
        <f t="shared" ref="C11:P11" si="14">SUM(C3:C10)</f>
        <v>598600</v>
      </c>
      <c r="D11" s="31">
        <f t="shared" si="14"/>
        <v>56</v>
      </c>
      <c r="E11" s="31">
        <f t="shared" si="14"/>
        <v>50975</v>
      </c>
      <c r="F11" s="31">
        <f t="shared" si="14"/>
        <v>14965</v>
      </c>
      <c r="G11" s="31">
        <f t="shared" si="14"/>
        <v>27627.692307692305</v>
      </c>
      <c r="H11" s="31">
        <f t="shared" si="14"/>
        <v>93567.692307692298</v>
      </c>
      <c r="I11" s="31">
        <f t="shared" si="14"/>
        <v>505032.30769230769</v>
      </c>
      <c r="J11" s="31">
        <f t="shared" si="14"/>
        <v>37113.200000000004</v>
      </c>
      <c r="K11" s="31">
        <f t="shared" si="14"/>
        <v>8679.6999999999989</v>
      </c>
      <c r="L11" s="31">
        <f t="shared" si="14"/>
        <v>752.40000000000009</v>
      </c>
      <c r="M11" s="31">
        <f t="shared" si="14"/>
        <v>23944</v>
      </c>
      <c r="N11" s="31">
        <f t="shared" si="14"/>
        <v>50881</v>
      </c>
      <c r="O11" s="31">
        <f t="shared" si="14"/>
        <v>514.43893068345312</v>
      </c>
      <c r="P11" s="31">
        <f t="shared" si="14"/>
        <v>121884.73893068344</v>
      </c>
      <c r="Q11" s="84"/>
      <c r="R11" s="30"/>
      <c r="S11" s="29"/>
      <c r="T11" s="29"/>
      <c r="U11" s="1"/>
    </row>
    <row r="12" spans="1:21" ht="20.100000000000001" customHeight="1" x14ac:dyDescent="0.25">
      <c r="A12" s="28"/>
      <c r="E12" s="74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72"/>
      <c r="Q12" s="21"/>
      <c r="S12" s="26"/>
      <c r="T12" s="26"/>
    </row>
    <row r="13" spans="1:21" x14ac:dyDescent="0.25">
      <c r="A13" s="25"/>
      <c r="E13" s="78"/>
      <c r="F13" s="27"/>
      <c r="G13" s="27"/>
      <c r="H13" s="70"/>
      <c r="I13" s="59"/>
      <c r="J13" s="60"/>
      <c r="K13" s="60"/>
      <c r="L13" s="59"/>
      <c r="M13" s="59"/>
      <c r="N13" s="59"/>
      <c r="O13" s="59"/>
      <c r="P13" s="59"/>
      <c r="Q13" s="21"/>
    </row>
    <row r="14" spans="1:21" ht="49.35" customHeight="1" x14ac:dyDescent="0.25">
      <c r="A14" s="25"/>
      <c r="E14" s="24"/>
      <c r="F14" s="70"/>
      <c r="G14" s="59"/>
      <c r="H14" s="59"/>
      <c r="I14" s="73"/>
      <c r="J14" s="18"/>
      <c r="K14" s="71"/>
      <c r="L14" s="59"/>
      <c r="M14" s="59"/>
      <c r="N14" s="59"/>
      <c r="O14" s="59"/>
      <c r="P14" s="59"/>
    </row>
    <row r="15" spans="1:21" ht="22.5" customHeight="1" thickBot="1" x14ac:dyDescent="0.3">
      <c r="A15" s="22" t="s">
        <v>26</v>
      </c>
      <c r="B15" s="21"/>
      <c r="C15" s="5"/>
      <c r="J15" s="16"/>
    </row>
    <row r="16" spans="1:21" x14ac:dyDescent="0.25">
      <c r="A16" s="23"/>
      <c r="B16" s="21"/>
      <c r="C16" s="22"/>
      <c r="J16" s="16"/>
    </row>
    <row r="17" spans="1:21" x14ac:dyDescent="0.25">
      <c r="A17" s="20" t="s">
        <v>27</v>
      </c>
      <c r="B17" s="82">
        <f>C3</f>
        <v>100000</v>
      </c>
      <c r="C17" s="18"/>
      <c r="D17" s="17"/>
      <c r="F17" s="12"/>
      <c r="I17" s="21"/>
      <c r="J17" s="16"/>
      <c r="L17" s="61"/>
      <c r="O17" s="12"/>
    </row>
    <row r="18" spans="1:21" x14ac:dyDescent="0.25">
      <c r="A18" s="20" t="s">
        <v>28</v>
      </c>
      <c r="B18" s="19"/>
      <c r="C18" s="18"/>
      <c r="J18" s="16"/>
      <c r="L18" s="61"/>
    </row>
    <row r="19" spans="1:21" x14ac:dyDescent="0.25">
      <c r="A19" s="15" t="s">
        <v>9</v>
      </c>
      <c r="B19" s="63">
        <f>J3</f>
        <v>6200</v>
      </c>
      <c r="C19" s="16">
        <f>B19/B17</f>
        <v>6.2E-2</v>
      </c>
      <c r="D19" s="66"/>
      <c r="J19" s="16"/>
      <c r="L19" s="61"/>
    </row>
    <row r="20" spans="1:21" x14ac:dyDescent="0.25">
      <c r="A20" s="15" t="s">
        <v>10</v>
      </c>
      <c r="B20" s="63">
        <f>K3</f>
        <v>1450</v>
      </c>
      <c r="C20" s="16">
        <f>B20/B17</f>
        <v>1.4500000000000001E-2</v>
      </c>
      <c r="D20" s="75"/>
      <c r="G20" s="81"/>
      <c r="J20" s="16"/>
      <c r="L20" s="61"/>
    </row>
    <row r="21" spans="1:21" x14ac:dyDescent="0.25">
      <c r="A21" s="15" t="s">
        <v>29</v>
      </c>
      <c r="B21" s="63">
        <f>L3</f>
        <v>94.050000000000011</v>
      </c>
      <c r="C21" s="16">
        <f>B21/B17</f>
        <v>9.4050000000000015E-4</v>
      </c>
      <c r="D21" s="75"/>
      <c r="J21" s="76"/>
    </row>
    <row r="22" spans="1:21" x14ac:dyDescent="0.25">
      <c r="A22" s="15" t="s">
        <v>12</v>
      </c>
      <c r="B22" s="63">
        <f>M3</f>
        <v>4000</v>
      </c>
      <c r="C22" s="16">
        <f>B22/B17</f>
        <v>0.04</v>
      </c>
      <c r="H22" s="12"/>
      <c r="J22" s="76"/>
      <c r="L22" s="81"/>
    </row>
    <row r="23" spans="1:21" x14ac:dyDescent="0.25">
      <c r="A23" s="15" t="s">
        <v>30</v>
      </c>
      <c r="B23" s="63">
        <f>N3</f>
        <v>8500</v>
      </c>
      <c r="C23" s="16">
        <f>B23/B17</f>
        <v>8.5000000000000006E-2</v>
      </c>
      <c r="D23" s="17"/>
    </row>
    <row r="24" spans="1:21" x14ac:dyDescent="0.25">
      <c r="A24" s="15" t="s">
        <v>14</v>
      </c>
      <c r="B24" s="64">
        <f>O3</f>
        <v>86</v>
      </c>
      <c r="C24" s="62">
        <f>B24/B17</f>
        <v>8.5999999999999998E-4</v>
      </c>
    </row>
    <row r="25" spans="1:21" s="5" customFormat="1" x14ac:dyDescent="0.25">
      <c r="A25" s="15" t="s">
        <v>31</v>
      </c>
      <c r="B25" s="63">
        <f>SUM(B19:B24)</f>
        <v>20330.05</v>
      </c>
      <c r="C25" s="76">
        <f>SUM(C19:C24)</f>
        <v>0.20330050000000002</v>
      </c>
      <c r="D25" s="17"/>
      <c r="E25" s="8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"/>
      <c r="S25" s="3"/>
      <c r="T25" s="2"/>
      <c r="U25" s="2"/>
    </row>
    <row r="26" spans="1:21" s="5" customFormat="1" x14ac:dyDescent="0.25">
      <c r="A26" s="1" t="s">
        <v>32</v>
      </c>
      <c r="B26" s="64">
        <f>H3</f>
        <v>14615.384615384615</v>
      </c>
      <c r="C26" s="68">
        <f>B26/B17</f>
        <v>0.14615384615384616</v>
      </c>
      <c r="D26" s="17"/>
      <c r="F26" s="6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"/>
      <c r="S26" s="3"/>
      <c r="T26" s="2"/>
      <c r="U26" s="2"/>
    </row>
    <row r="27" spans="1:21" x14ac:dyDescent="0.25">
      <c r="B27" s="63">
        <f>SUM(B25:B26)</f>
        <v>34945.434615384613</v>
      </c>
      <c r="C27" s="14">
        <f>SUM(C25:C26)</f>
        <v>0.34945434615384618</v>
      </c>
      <c r="D27" s="17"/>
      <c r="F27" s="12"/>
      <c r="H27" s="61"/>
    </row>
    <row r="28" spans="1:21" s="5" customFormat="1" x14ac:dyDescent="0.25">
      <c r="A28" s="5" t="s">
        <v>33</v>
      </c>
      <c r="B28" s="13">
        <f>B27/(B17-B26)</f>
        <v>0.40927085585585582</v>
      </c>
      <c r="C28" s="67"/>
      <c r="D28" s="77"/>
      <c r="E28" s="90"/>
      <c r="F28" s="90"/>
      <c r="G28" s="90"/>
      <c r="H28" s="90"/>
      <c r="I28" s="90"/>
      <c r="J28" s="4"/>
      <c r="K28" s="4"/>
      <c r="L28" s="4"/>
      <c r="M28" s="4"/>
      <c r="N28" s="4"/>
      <c r="O28" s="4"/>
      <c r="P28" s="4"/>
      <c r="Q28" s="4"/>
      <c r="R28" s="1"/>
      <c r="S28" s="3"/>
      <c r="T28" s="2"/>
      <c r="U28" s="2"/>
    </row>
    <row r="29" spans="1:21" s="5" customFormat="1" x14ac:dyDescent="0.25">
      <c r="A29" s="5" t="s">
        <v>34</v>
      </c>
      <c r="B29" s="11">
        <f>B25/(B17-B26)</f>
        <v>0.23809968468468465</v>
      </c>
      <c r="C29" s="14"/>
      <c r="D29" s="1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  <c r="S29" s="3"/>
      <c r="T29" s="2"/>
      <c r="U29" s="2"/>
    </row>
    <row r="30" spans="1:21" s="5" customFormat="1" x14ac:dyDescent="0.25">
      <c r="B30" s="10"/>
      <c r="C30" s="1"/>
      <c r="D30" s="6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"/>
      <c r="S30" s="3"/>
      <c r="T30" s="2"/>
      <c r="U30" s="2"/>
    </row>
    <row r="31" spans="1:21" s="5" customFormat="1" x14ac:dyDescent="0.25">
      <c r="B31" s="1"/>
      <c r="C31" s="1"/>
      <c r="D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"/>
      <c r="S31" s="3"/>
      <c r="T31" s="2"/>
      <c r="U31" s="2"/>
    </row>
    <row r="32" spans="1:21" s="5" customFormat="1" x14ac:dyDescent="0.25">
      <c r="B32" s="9"/>
      <c r="C32" s="1"/>
      <c r="D32" s="6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/>
      <c r="S32" s="3"/>
      <c r="T32" s="2"/>
      <c r="U32" s="2"/>
    </row>
    <row r="33" spans="1:21" s="5" customFormat="1" x14ac:dyDescent="0.25">
      <c r="B33" s="87" t="s">
        <v>33</v>
      </c>
      <c r="C33" s="1" t="s">
        <v>34</v>
      </c>
      <c r="D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  <c r="S33" s="3"/>
      <c r="T33" s="2"/>
      <c r="U33" s="2"/>
    </row>
    <row r="34" spans="1:21" s="5" customFormat="1" x14ac:dyDescent="0.25">
      <c r="A34" s="5" t="s">
        <v>35</v>
      </c>
      <c r="D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"/>
      <c r="S34" s="3"/>
      <c r="T34" s="2"/>
      <c r="U34" s="2"/>
    </row>
    <row r="35" spans="1:21" s="5" customFormat="1" x14ac:dyDescent="0.25">
      <c r="B35" s="8"/>
      <c r="C35" s="1"/>
      <c r="D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"/>
      <c r="S35" s="3"/>
      <c r="T35" s="2"/>
      <c r="U35" s="2"/>
    </row>
    <row r="36" spans="1:21" s="5" customFormat="1" ht="31.5" x14ac:dyDescent="0.25">
      <c r="A36" s="89" t="s">
        <v>36</v>
      </c>
      <c r="B36" s="4">
        <v>85385</v>
      </c>
      <c r="C36" s="4">
        <v>85385</v>
      </c>
      <c r="D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"/>
      <c r="S36" s="3"/>
      <c r="T36" s="2"/>
      <c r="U36" s="2"/>
    </row>
    <row r="37" spans="1:21" s="5" customFormat="1" x14ac:dyDescent="0.25">
      <c r="A37" s="89" t="s">
        <v>37</v>
      </c>
      <c r="B37" s="88">
        <v>0.41</v>
      </c>
      <c r="C37" s="88">
        <v>0.24</v>
      </c>
      <c r="D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"/>
      <c r="S37" s="3"/>
      <c r="T37" s="2"/>
      <c r="U37" s="2"/>
    </row>
    <row r="38" spans="1:21" s="5" customFormat="1" ht="31.5" x14ac:dyDescent="0.25">
      <c r="A38" s="89" t="s">
        <v>38</v>
      </c>
      <c r="B38" s="4">
        <f>B36*B37</f>
        <v>35007.85</v>
      </c>
      <c r="C38" s="4">
        <f>C36*C37</f>
        <v>20492.399999999998</v>
      </c>
      <c r="D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"/>
      <c r="S38" s="3"/>
      <c r="T38" s="2"/>
      <c r="U38" s="2"/>
    </row>
    <row r="39" spans="1:21" s="5" customFormat="1" x14ac:dyDescent="0.25">
      <c r="B39" s="1"/>
      <c r="C39" s="1"/>
      <c r="D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"/>
      <c r="S39" s="3"/>
      <c r="T39" s="2"/>
      <c r="U39" s="2"/>
    </row>
    <row r="40" spans="1:21" s="5" customFormat="1" ht="31.5" x14ac:dyDescent="0.25">
      <c r="A40" s="89" t="s">
        <v>39</v>
      </c>
      <c r="B40" s="58">
        <f>B36+B38</f>
        <v>120392.85</v>
      </c>
      <c r="C40" s="58">
        <f>C36+C38</f>
        <v>105877.4</v>
      </c>
      <c r="D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"/>
      <c r="S40" s="3"/>
      <c r="T40" s="2"/>
      <c r="U40" s="2"/>
    </row>
    <row r="41" spans="1:21" s="5" customFormat="1" x14ac:dyDescent="0.25">
      <c r="B41" s="1"/>
      <c r="C41" s="1"/>
      <c r="D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"/>
      <c r="S41" s="3"/>
      <c r="T41" s="2"/>
      <c r="U41" s="2"/>
    </row>
    <row r="42" spans="1:21" s="5" customFormat="1" x14ac:dyDescent="0.25">
      <c r="B42" s="1"/>
      <c r="C42" s="1"/>
      <c r="D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/>
      <c r="S42" s="3"/>
      <c r="T42" s="2"/>
      <c r="U42" s="2"/>
    </row>
    <row r="43" spans="1:21" s="5" customFormat="1" x14ac:dyDescent="0.25">
      <c r="C43" s="1"/>
      <c r="D43" s="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"/>
      <c r="S43" s="3"/>
      <c r="T43" s="2"/>
      <c r="U43" s="2"/>
    </row>
    <row r="44" spans="1:21" s="5" customFormat="1" x14ac:dyDescent="0.25">
      <c r="C44" s="1"/>
      <c r="D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"/>
      <c r="S44" s="3"/>
      <c r="T44" s="2"/>
      <c r="U44" s="2"/>
    </row>
    <row r="45" spans="1:21" s="5" customFormat="1" x14ac:dyDescent="0.25">
      <c r="C45" s="1"/>
      <c r="D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"/>
      <c r="S45" s="3"/>
      <c r="T45" s="2"/>
      <c r="U45" s="2"/>
    </row>
    <row r="46" spans="1:21" s="5" customFormat="1" x14ac:dyDescent="0.25">
      <c r="C46" s="1"/>
      <c r="D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"/>
      <c r="S46" s="3"/>
      <c r="T46" s="2"/>
      <c r="U46" s="2"/>
    </row>
    <row r="47" spans="1:21" s="5" customFormat="1" x14ac:dyDescent="0.25">
      <c r="C47" s="1"/>
      <c r="D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/>
      <c r="S47" s="3"/>
      <c r="T47" s="2"/>
      <c r="U47" s="2"/>
    </row>
    <row r="48" spans="1:21" s="5" customFormat="1" x14ac:dyDescent="0.25">
      <c r="C48" s="1"/>
      <c r="D48" s="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"/>
      <c r="S48" s="3"/>
      <c r="T48" s="2"/>
      <c r="U48" s="2"/>
    </row>
    <row r="49" spans="2:4" x14ac:dyDescent="0.25">
      <c r="B49" s="5"/>
      <c r="D49" s="7"/>
    </row>
    <row r="50" spans="2:4" x14ac:dyDescent="0.25">
      <c r="B50" s="5"/>
      <c r="D50" s="7"/>
    </row>
  </sheetData>
  <mergeCells count="1">
    <mergeCell ref="E28:I28"/>
  </mergeCells>
  <printOptions horizontalCentered="1"/>
  <pageMargins left="0.7" right="0.7" top="0.5" bottom="0.5" header="0.3" footer="0.3"/>
  <pageSetup paperSize="5" scale="49" fitToHeight="0" orientation="landscape" r:id="rId1"/>
  <rowBreaks count="1" manualBreakCount="1">
    <brk id="1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09a23e-e0e8-4bb2-a711-4671f26a4180" xsi:nil="true"/>
    <lcf76f155ced4ddcb4097134ff3c332f xmlns="74ab21f6-2ef9-4ce6-8f9d-657b7d3ba7b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C90A98B093B47887CE871E1CEDFB3" ma:contentTypeVersion="16" ma:contentTypeDescription="Create a new document." ma:contentTypeScope="" ma:versionID="dc29b7e9f3c2d3e6a20dc36f57bc95ab">
  <xsd:schema xmlns:xsd="http://www.w3.org/2001/XMLSchema" xmlns:xs="http://www.w3.org/2001/XMLSchema" xmlns:p="http://schemas.microsoft.com/office/2006/metadata/properties" xmlns:ns2="74ab21f6-2ef9-4ce6-8f9d-657b7d3ba7bd" xmlns:ns3="4009a23e-e0e8-4bb2-a711-4671f26a4180" targetNamespace="http://schemas.microsoft.com/office/2006/metadata/properties" ma:root="true" ma:fieldsID="413a4bd885dfc020ec50f61477c64b83" ns2:_="" ns3:_="">
    <xsd:import namespace="74ab21f6-2ef9-4ce6-8f9d-657b7d3ba7bd"/>
    <xsd:import namespace="4009a23e-e0e8-4bb2-a711-4671f26a41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b21f6-2ef9-4ce6-8f9d-657b7d3ba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4601ea-ff97-487b-a5ba-202a53901f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9a23e-e0e8-4bb2-a711-4671f26a41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cook@banningca.gov" ma:description="Please deposit all files discussed regarding the CNA.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a42bc5-bd69-422f-80c2-a16dcea8bb08}" ma:internalName="TaxCatchAll" ma:showField="CatchAllData" ma:web="4009a23e-e0e8-4bb2-a711-4671f26a41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763931-515C-4A9D-87F7-A436B8F4F0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3A7FE0-B7E3-435F-963C-02F313C76829}">
  <ds:schemaRefs>
    <ds:schemaRef ds:uri="http://purl.org/dc/terms/"/>
    <ds:schemaRef ds:uri="http://www.w3.org/XML/1998/namespace"/>
    <ds:schemaRef ds:uri="http://purl.org/dc/dcmitype/"/>
    <ds:schemaRef ds:uri="4009a23e-e0e8-4bb2-a711-4671f26a418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ab21f6-2ef9-4ce6-8f9d-657b7d3ba7b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B6FBFA9-DEA5-45C6-B269-8389F9DF3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ab21f6-2ef9-4ce6-8f9d-657b7d3ba7bd"/>
    <ds:schemaRef ds:uri="4009a23e-e0e8-4bb2-a711-4671f26a4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Employees Labor &amp; Fringe  </vt:lpstr>
      <vt:lpstr>'Employees Labor &amp; Fringe  '!Print_Area</vt:lpstr>
      <vt:lpstr>'Employees Labor &amp; Fringe 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DCTA Financial Management: Fringe Benefit Rate Template</dc:title>
  <dc:subject/>
  <dc:creator>HUD</dc:creator>
  <cp:keywords/>
  <dc:description/>
  <cp:lastModifiedBy>Wolfe, Ilona</cp:lastModifiedBy>
  <cp:revision/>
  <dcterms:created xsi:type="dcterms:W3CDTF">2021-10-14T21:21:00Z</dcterms:created>
  <dcterms:modified xsi:type="dcterms:W3CDTF">2022-09-27T20:05:09Z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0x01010082DC90A98B093B47887CE871E1CEDFB3</vt:lpwstr>
  </property>
  <property fmtid="{D5CDD505-2E9C-101B-9397-08002B2CF9AE}" pid="3" name="MediaServiceImageTags">
    <vt:lpwstr/>
  </property>
</Properties>
</file>